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ccira-my.sharepoint.com/personal/k_drumel_marneardennes_cci_fr/Documents/Bureau/Manager services généraux/2 MARCHES/Réhabilitation Rue André Huet/Etude énergétique/Complément étude Initial expertise/"/>
    </mc:Choice>
  </mc:AlternateContent>
  <xr:revisionPtr revIDLastSave="869" documentId="8_{EA55BE8A-E82B-44C2-AFA3-4796E99E1885}" xr6:coauthVersionLast="47" xr6:coauthVersionMax="47" xr10:uidLastSave="{FB596B3E-9994-44FA-83A9-37370E002F6E}"/>
  <bookViews>
    <workbookView xWindow="-120" yWindow="-16320" windowWidth="29040" windowHeight="15840" xr2:uid="{FB456F1D-E8D0-4271-826C-E2988E9DCA80}"/>
  </bookViews>
  <sheets>
    <sheet name="Décomposition des coûts" sheetId="1" r:id="rId1"/>
  </sheets>
  <definedNames>
    <definedName name="_xlnm.Print_Area" localSheetId="0">'Décomposition des coûts'!$I$1:$L$41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20" i="1" l="1"/>
  <c r="T11" i="1"/>
  <c r="V2" i="1"/>
  <c r="V28" i="1"/>
  <c r="O22" i="1"/>
  <c r="O13" i="1"/>
  <c r="Q2" i="1"/>
  <c r="Q36" i="1"/>
  <c r="G25" i="1"/>
  <c r="J16" i="1"/>
  <c r="T18" i="1"/>
  <c r="T6" i="1"/>
  <c r="T5" i="1"/>
  <c r="O5" i="1"/>
  <c r="G8" i="1"/>
  <c r="D8" i="1"/>
  <c r="D7" i="1"/>
  <c r="V23" i="1" l="1"/>
  <c r="V42" i="1"/>
  <c r="V40" i="1"/>
  <c r="Q48" i="1"/>
  <c r="Q39" i="1"/>
  <c r="Q33" i="1"/>
  <c r="Q41" i="1" s="1"/>
  <c r="Q50" i="1" s="1"/>
  <c r="Q25" i="1"/>
  <c r="L23" i="1"/>
  <c r="K20" i="1"/>
  <c r="D26" i="1"/>
  <c r="D25" i="1" s="1"/>
  <c r="O20" i="1" s="1"/>
  <c r="D36" i="1"/>
  <c r="G36" i="1" s="1"/>
  <c r="D35" i="1"/>
  <c r="G35" i="1" s="1"/>
  <c r="D34" i="1"/>
  <c r="G34" i="1" s="1"/>
  <c r="D33" i="1"/>
  <c r="G33" i="1" s="1"/>
  <c r="D32" i="1"/>
  <c r="G32" i="1" s="1"/>
  <c r="D28" i="1"/>
  <c r="G28" i="1" s="1"/>
  <c r="D23" i="1"/>
  <c r="G23" i="1" s="1"/>
  <c r="D22" i="1"/>
  <c r="G22" i="1" s="1"/>
  <c r="D24" i="1"/>
  <c r="G24" i="1" s="1"/>
  <c r="D21" i="1"/>
  <c r="D15" i="1"/>
  <c r="G15" i="1" s="1"/>
  <c r="D16" i="1"/>
  <c r="G16" i="1" s="1"/>
  <c r="D17" i="1"/>
  <c r="G17" i="1" s="1"/>
  <c r="D14" i="1"/>
  <c r="G14" i="1" s="1"/>
  <c r="D9" i="1"/>
  <c r="G9" i="1" s="1"/>
  <c r="D4" i="1"/>
  <c r="G4" i="1" s="1"/>
  <c r="D5" i="1"/>
  <c r="G5" i="1" s="1"/>
  <c r="D6" i="1"/>
  <c r="D11" i="1" s="1"/>
  <c r="G11" i="1" s="1"/>
  <c r="O9" i="1" s="1"/>
  <c r="D3" i="1"/>
  <c r="G3" i="1" s="1"/>
  <c r="D10" i="1" l="1"/>
  <c r="G10" i="1" s="1"/>
  <c r="J7" i="1" s="1"/>
  <c r="T7" i="1" s="1"/>
  <c r="J9" i="1"/>
  <c r="T10" i="1" s="1"/>
  <c r="J17" i="1"/>
  <c r="D27" i="1"/>
  <c r="G21" i="1"/>
  <c r="G7" i="1"/>
  <c r="J8" i="1" s="1"/>
  <c r="T9" i="1" s="1"/>
  <c r="G6" i="1"/>
  <c r="J6" i="1" s="1"/>
  <c r="G12" i="1" l="1"/>
  <c r="G13" i="1" s="1"/>
  <c r="T8" i="1" s="1"/>
  <c r="O8" i="1"/>
  <c r="O21" i="1"/>
  <c r="T19" i="1"/>
  <c r="D13" i="1"/>
  <c r="O10" i="1"/>
  <c r="J5" i="1"/>
  <c r="O12" i="1"/>
  <c r="O11" i="1"/>
  <c r="D12" i="1"/>
  <c r="J14" i="1"/>
  <c r="T15" i="1" s="1"/>
  <c r="D29" i="1"/>
  <c r="G29" i="1" s="1"/>
  <c r="G27" i="1"/>
  <c r="J15" i="1" s="1"/>
  <c r="O18" i="1" l="1"/>
  <c r="T16" i="1"/>
  <c r="O17" i="1"/>
  <c r="J13" i="1"/>
  <c r="J10" i="1"/>
  <c r="G18" i="1"/>
  <c r="D30" i="1"/>
  <c r="G30" i="1" s="1"/>
  <c r="U8" i="1" l="1"/>
  <c r="U10" i="1"/>
  <c r="U9" i="1"/>
  <c r="U5" i="1"/>
  <c r="T17" i="1"/>
  <c r="O19" i="1"/>
  <c r="O16" i="1" s="1"/>
  <c r="T14" i="1"/>
  <c r="U6" i="1"/>
  <c r="U7" i="1"/>
  <c r="K8" i="1"/>
  <c r="K6" i="1"/>
  <c r="K10" i="1"/>
  <c r="K7" i="1"/>
  <c r="G37" i="1"/>
  <c r="G39" i="1" s="1"/>
  <c r="K5" i="1"/>
  <c r="K9" i="1"/>
  <c r="J18" i="1"/>
  <c r="U11" i="1" l="1"/>
  <c r="P20" i="1"/>
  <c r="P19" i="1"/>
  <c r="P21" i="1"/>
  <c r="P17" i="1"/>
  <c r="P16" i="1"/>
  <c r="P18" i="1"/>
  <c r="K16" i="1"/>
  <c r="L2" i="1"/>
  <c r="K18" i="1"/>
  <c r="K13" i="1"/>
  <c r="J19" i="1"/>
  <c r="K17" i="1"/>
  <c r="K14" i="1"/>
  <c r="K15" i="1"/>
  <c r="L3" i="1" l="1"/>
  <c r="L20" i="1"/>
  <c r="L10" i="1"/>
  <c r="L18" i="1"/>
  <c r="V6" i="1"/>
  <c r="V9" i="1"/>
  <c r="V7" i="1"/>
  <c r="V10" i="1"/>
  <c r="V5" i="1"/>
  <c r="V8" i="1"/>
  <c r="V18" i="1"/>
  <c r="V19" i="1"/>
  <c r="V15" i="1"/>
  <c r="V17" i="1"/>
  <c r="V16" i="1"/>
  <c r="P22" i="1"/>
  <c r="L17" i="1"/>
  <c r="L16" i="1"/>
  <c r="L14" i="1"/>
  <c r="L15" i="1"/>
  <c r="L13" i="1"/>
  <c r="L7" i="1" l="1"/>
  <c r="L8" i="1"/>
  <c r="L6" i="1"/>
  <c r="L9" i="1"/>
  <c r="L5" i="1"/>
  <c r="P6" i="1" l="1"/>
  <c r="P7" i="1"/>
  <c r="P9" i="1"/>
  <c r="P10" i="1"/>
  <c r="P11" i="1"/>
  <c r="P12" i="1"/>
  <c r="P8" i="1"/>
  <c r="P5" i="1"/>
  <c r="Q45" i="1"/>
  <c r="Q49" i="1" s="1"/>
  <c r="Q51" i="1" s="1"/>
  <c r="Q3" i="1" l="1"/>
  <c r="Q40" i="1"/>
  <c r="Q42" i="1" s="1"/>
  <c r="Q8" i="1"/>
  <c r="Q22" i="1"/>
  <c r="P13" i="1"/>
  <c r="Q13" i="1"/>
  <c r="Q7" i="1"/>
  <c r="Q6" i="1"/>
  <c r="Q20" i="1"/>
  <c r="Q9" i="1"/>
  <c r="Q21" i="1"/>
  <c r="Q11" i="1"/>
  <c r="Q17" i="1"/>
  <c r="Q12" i="1"/>
  <c r="Q18" i="1"/>
  <c r="Q16" i="1"/>
  <c r="Q10" i="1"/>
  <c r="Q19" i="1"/>
  <c r="Q5" i="1"/>
  <c r="V14" i="1"/>
  <c r="U18" i="1" l="1"/>
  <c r="U15" i="1"/>
  <c r="U19" i="1"/>
  <c r="U16" i="1"/>
  <c r="U14" i="1"/>
  <c r="U20" i="1" s="1"/>
  <c r="U17" i="1"/>
  <c r="V3" i="1"/>
  <c r="T21" i="1"/>
  <c r="V11" i="1" l="1"/>
  <c r="V20" i="1"/>
  <c r="V32" i="1" l="1"/>
  <c r="V34" i="1" s="1"/>
  <c r="V37" i="1"/>
  <c r="V41" i="1" s="1"/>
  <c r="V43" i="1" s="1"/>
</calcChain>
</file>

<file path=xl/sharedStrings.xml><?xml version="1.0" encoding="utf-8"?>
<sst xmlns="http://schemas.openxmlformats.org/spreadsheetml/2006/main" count="219" uniqueCount="98">
  <si>
    <t>TOUR</t>
  </si>
  <si>
    <t>NAPPE</t>
  </si>
  <si>
    <t>longueur</t>
  </si>
  <si>
    <t>largeur</t>
  </si>
  <si>
    <t>hauteur</t>
  </si>
  <si>
    <t>ml</t>
  </si>
  <si>
    <t xml:space="preserve">Embase NAPPE </t>
  </si>
  <si>
    <t>profondeur</t>
  </si>
  <si>
    <t>façade SE</t>
  </si>
  <si>
    <t>façade SO</t>
  </si>
  <si>
    <t>façade NE</t>
  </si>
  <si>
    <t>façade NO</t>
  </si>
  <si>
    <t>Toiture</t>
  </si>
  <si>
    <t>Sous dalle</t>
  </si>
  <si>
    <t>Menuiserie</t>
  </si>
  <si>
    <t>surface</t>
  </si>
  <si>
    <t>Brise soleil SE</t>
  </si>
  <si>
    <t>Brise soleil SO</t>
  </si>
  <si>
    <t>Flocage</t>
  </si>
  <si>
    <t>Coût total HT</t>
  </si>
  <si>
    <t>Coût m²ht</t>
  </si>
  <si>
    <t>Brise soleil alu en lame</t>
  </si>
  <si>
    <t>Patio</t>
  </si>
  <si>
    <t>largeur patio</t>
  </si>
  <si>
    <t>longueur patio</t>
  </si>
  <si>
    <t>Menuiserie extérieure</t>
  </si>
  <si>
    <t>menuiserie patio</t>
  </si>
  <si>
    <t>PU et mebrane bitume</t>
  </si>
  <si>
    <t>Revêtement et Laine minérale  en ITE</t>
  </si>
  <si>
    <t>ITE Enduit et PSE</t>
  </si>
  <si>
    <t>Embase TOUR</t>
  </si>
  <si>
    <t>Total travaux estimés</t>
  </si>
  <si>
    <t>Toiture en projection</t>
  </si>
  <si>
    <t>Toiture sur pans</t>
  </si>
  <si>
    <t>laine de chanvre</t>
  </si>
  <si>
    <t>Façades de TOUR, Isolation parois, menuiserie et brise soleil</t>
  </si>
  <si>
    <t>Total rénovation TOUR</t>
  </si>
  <si>
    <t>Synthèse des coûts pour TOUR</t>
  </si>
  <si>
    <t>Synthèse des coûts pour NAPPE</t>
  </si>
  <si>
    <t>Façades de NAPPE, Isolation parois, menuiserie et brise soleil</t>
  </si>
  <si>
    <t>Total rénovation NAPPE</t>
  </si>
  <si>
    <t>% des coûts globaux</t>
  </si>
  <si>
    <t>Dénomination</t>
  </si>
  <si>
    <t>toiture pointe</t>
  </si>
  <si>
    <t>TOUR ET EMBASE</t>
  </si>
  <si>
    <t>% des coûts/NAPPE</t>
  </si>
  <si>
    <t>% des coûts/TOUR</t>
  </si>
  <si>
    <t>Isolation parois</t>
  </si>
  <si>
    <t>Brise soleil fixe</t>
  </si>
  <si>
    <t xml:space="preserve"> Isolation parois</t>
  </si>
  <si>
    <t>Coût m² HT avec pose</t>
  </si>
  <si>
    <t>Sous dalle et embase</t>
  </si>
  <si>
    <t>Sous-total TOUR</t>
  </si>
  <si>
    <t>Sous-total NAPPE</t>
  </si>
  <si>
    <t>Isolant soufflé</t>
  </si>
  <si>
    <t xml:space="preserve">Brise soleil en lame </t>
  </si>
  <si>
    <t>Brise soleil  en lame</t>
  </si>
  <si>
    <t>Menuiserie  SE SO</t>
  </si>
  <si>
    <t>Menuiserie NE NO</t>
  </si>
  <si>
    <t>fenêtre</t>
  </si>
  <si>
    <t>Surenveloppe</t>
  </si>
  <si>
    <t>Coût global des rénovations des bâtiments  TOUR et NAPPE</t>
  </si>
  <si>
    <t>Estimation des coûts par OTEIS</t>
  </si>
  <si>
    <t>Total travaux OTEIS</t>
  </si>
  <si>
    <t>Enveloppe TOUR et NAPPE</t>
  </si>
  <si>
    <t>Rénovation façade actuelle SE et SO</t>
  </si>
  <si>
    <t>Revêtement façcade NE et NO</t>
  </si>
  <si>
    <t>Menuiserie façade NE et NO</t>
  </si>
  <si>
    <t>Stores intérieurs</t>
  </si>
  <si>
    <t>Approximation</t>
  </si>
  <si>
    <t>fenêtre vitrage  Uw&lt;1,3</t>
  </si>
  <si>
    <t>fenêtre vitrage FS 0,5 / Uw&lt;1,3</t>
  </si>
  <si>
    <t xml:space="preserve">Chauffage </t>
  </si>
  <si>
    <t>Climatisation</t>
  </si>
  <si>
    <t>en MWh</t>
  </si>
  <si>
    <t>Gain économique</t>
  </si>
  <si>
    <t>#2 Central à traitement d'air double flux</t>
  </si>
  <si>
    <t>#3 Panneau photovoltaïque sur le toit</t>
  </si>
  <si>
    <t>#6 Système de chauffage à détente direct</t>
  </si>
  <si>
    <t xml:space="preserve">Cout global des bouquets </t>
  </si>
  <si>
    <t>Gain moyen annuel sur les consommations énergétiques</t>
  </si>
  <si>
    <t xml:space="preserve">ROI (en année) </t>
  </si>
  <si>
    <t xml:space="preserve">#1 Rénovation enveloppe avec surenveloppe </t>
  </si>
  <si>
    <t> Solution INITIAL Expertise _ Surenveloppe</t>
  </si>
  <si>
    <t>Gains énergétiques de lasolution  surenveloppe</t>
  </si>
  <si>
    <t>#6 Système de chauffage à détente direct avec géothermie</t>
  </si>
  <si>
    <t> Solution INITIAL Expertise _ Surenveloppe et géothermie</t>
  </si>
  <si>
    <t>NAPPE  ET EMBASE</t>
  </si>
  <si>
    <t>Type *</t>
  </si>
  <si>
    <r>
      <t xml:space="preserve">Décomposition des travaux de rénovation* des enveloppes des bâtiments de TOUR et NAPPE
</t>
    </r>
    <r>
      <rPr>
        <sz val="22"/>
        <color rgb="FF004C5C"/>
        <rFont val="Outfit"/>
      </rPr>
      <t>(* Les matériaux annotés sont inscrits à titre indicatif)</t>
    </r>
  </si>
  <si>
    <r>
      <t xml:space="preserve">Estimation des travaux de rénovation* des enveloppes des bâtiments de TOUR et NAPPE selon rapport </t>
    </r>
    <r>
      <rPr>
        <b/>
        <sz val="28"/>
        <color rgb="FF004C5C"/>
        <rFont val="Outfit"/>
      </rPr>
      <t>OTEIS</t>
    </r>
    <r>
      <rPr>
        <sz val="28"/>
        <color rgb="FF004C5C"/>
        <rFont val="Outfit"/>
      </rPr>
      <t xml:space="preserve">
</t>
    </r>
    <r>
      <rPr>
        <sz val="22"/>
        <color rgb="FF004C5C"/>
        <rFont val="Outfit"/>
      </rPr>
      <t>(* Les matériaux annotés sont inscrits à titre indicatif)</t>
    </r>
  </si>
  <si>
    <r>
      <t xml:space="preserve">Décomposition des travaux de rénovation* des enveloppes des bâtiments de TOUR et NAPPE - </t>
    </r>
    <r>
      <rPr>
        <b/>
        <u/>
        <sz val="28"/>
        <color rgb="FF004C5C"/>
        <rFont val="Outfit"/>
      </rPr>
      <t>Ajout d'une surenveloppe</t>
    </r>
    <r>
      <rPr>
        <sz val="28"/>
        <color rgb="FF004C5C"/>
        <rFont val="Outfit"/>
      </rPr>
      <t xml:space="preserve">
</t>
    </r>
    <r>
      <rPr>
        <sz val="22"/>
        <color rgb="FF004C5C"/>
        <rFont val="Outfit"/>
      </rPr>
      <t>(* Les matériaux annotés sont inscrits à titre indicatif)</t>
    </r>
  </si>
  <si>
    <r>
      <t xml:space="preserve">Estimation des travaux de rénovation* des enveloppes des bâtiments de TOUR et NAPPE - </t>
    </r>
    <r>
      <rPr>
        <b/>
        <u/>
        <sz val="28"/>
        <color rgb="FF004C5C"/>
        <rFont val="Outfit"/>
      </rPr>
      <t>Optimisation OTEIS</t>
    </r>
    <r>
      <rPr>
        <sz val="28"/>
        <color rgb="FF004C5C"/>
        <rFont val="Outfit"/>
      </rPr>
      <t xml:space="preserve">
</t>
    </r>
    <r>
      <rPr>
        <sz val="22"/>
        <color rgb="FF004C5C"/>
        <rFont val="Outfit"/>
      </rPr>
      <t>(* Les matériaux annotés sont inscrits à titre indicatif)</t>
    </r>
  </si>
  <si>
    <t xml:space="preserve">#1 Rénovation enveloppe </t>
  </si>
  <si>
    <t>#1 Rénovation enveloppe</t>
  </si>
  <si>
    <t> Solution INITIAL Expertise _Optimisation OTEIS</t>
  </si>
  <si>
    <t> Solution INITIAL Expertise _Optimisation OTEIS et géothermie</t>
  </si>
  <si>
    <t>Le travail effectué dans le cadre de ce contrat est une mission de conseil. Ce n’est pas une étude de conception. Cette étude a pour objectif d’aider les décisionnaires dans leur choix, mais elle n’entre pas dans le cadre d’une mission d’ingénierie correspondant à une mission de définition ou de dimensionnement.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</si>
</sst>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  <numFmt numFmtId="165" formatCode="0.0%"/>
  </numFmts>
  <fonts count="2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004C5C"/>
      <name val="Outfit"/>
    </font>
    <font>
      <b/>
      <sz val="14"/>
      <color rgb="FF004C5C"/>
      <name val="Outfit"/>
    </font>
    <font>
      <b/>
      <sz val="16"/>
      <color rgb="FF004C5C"/>
      <name val="Outfit"/>
    </font>
    <font>
      <b/>
      <sz val="11"/>
      <color rgb="FF004C5C"/>
      <name val="Outfit"/>
    </font>
    <font>
      <sz val="14"/>
      <color rgb="FF004C5C"/>
      <name val="Outfit"/>
    </font>
    <font>
      <i/>
      <sz val="11"/>
      <color rgb="FF004C5C"/>
      <name val="Outfit"/>
    </font>
    <font>
      <b/>
      <sz val="16"/>
      <color theme="0"/>
      <name val="Outfit"/>
    </font>
    <font>
      <sz val="28"/>
      <color rgb="FF004C5C"/>
      <name val="Outfit"/>
    </font>
    <font>
      <sz val="22"/>
      <color rgb="FF004C5C"/>
      <name val="Outfit"/>
    </font>
    <font>
      <sz val="11"/>
      <color rgb="FFFF0000"/>
      <name val="Outfit"/>
    </font>
    <font>
      <sz val="12"/>
      <color rgb="FF004C5C"/>
      <name val="Outfit"/>
    </font>
    <font>
      <b/>
      <sz val="12"/>
      <color rgb="FF004C5C"/>
      <name val="Outfit"/>
    </font>
    <font>
      <sz val="16"/>
      <color rgb="FF004C5C"/>
      <name val="Outfit"/>
    </font>
    <font>
      <b/>
      <i/>
      <sz val="11"/>
      <color rgb="FF004C5C"/>
      <name val="Outfit"/>
    </font>
    <font>
      <b/>
      <sz val="28"/>
      <color rgb="FF004C5C"/>
      <name val="Outfit"/>
    </font>
    <font>
      <b/>
      <u/>
      <sz val="28"/>
      <color rgb="FF004C5C"/>
      <name val="Outfit"/>
    </font>
    <font>
      <b/>
      <sz val="20"/>
      <color rgb="FF004C5C"/>
      <name val="Outfit"/>
    </font>
    <font>
      <sz val="11"/>
      <color theme="1"/>
      <name val="Aptos"/>
      <family val="2"/>
    </font>
    <font>
      <sz val="12"/>
      <color theme="1"/>
      <name val="Aptos"/>
      <family val="2"/>
    </font>
  </fonts>
  <fills count="4">
    <fill>
      <patternFill patternType="none"/>
    </fill>
    <fill>
      <patternFill patternType="gray125"/>
    </fill>
    <fill>
      <patternFill patternType="solid">
        <fgColor rgb="FFFFD800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slantDashDot">
        <color auto="1"/>
      </top>
      <bottom style="slantDashDot">
        <color auto="1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50">
    <xf numFmtId="0" fontId="0" fillId="0" borderId="0" xfId="0"/>
    <xf numFmtId="0" fontId="2" fillId="0" borderId="0" xfId="0" applyFont="1"/>
    <xf numFmtId="0" fontId="3" fillId="2" borderId="4" xfId="0" applyFont="1" applyFill="1" applyBorder="1"/>
    <xf numFmtId="0" fontId="3" fillId="2" borderId="4" xfId="0" applyFont="1" applyFill="1" applyBorder="1" applyAlignment="1">
      <alignment wrapText="1"/>
    </xf>
    <xf numFmtId="0" fontId="3" fillId="2" borderId="5" xfId="0" applyFont="1" applyFill="1" applyBorder="1"/>
    <xf numFmtId="164" fontId="4" fillId="2" borderId="2" xfId="0" applyNumberFormat="1" applyFont="1" applyFill="1" applyBorder="1" applyAlignment="1">
      <alignment vertical="center"/>
    </xf>
    <xf numFmtId="0" fontId="5" fillId="2" borderId="6" xfId="0" applyFont="1" applyFill="1" applyBorder="1"/>
    <xf numFmtId="0" fontId="2" fillId="0" borderId="1" xfId="0" applyFont="1" applyBorder="1"/>
    <xf numFmtId="44" fontId="2" fillId="0" borderId="1" xfId="1" applyFont="1" applyBorder="1"/>
    <xf numFmtId="164" fontId="2" fillId="0" borderId="7" xfId="1" applyNumberFormat="1" applyFont="1" applyBorder="1"/>
    <xf numFmtId="0" fontId="2" fillId="0" borderId="6" xfId="0" applyFont="1" applyBorder="1"/>
    <xf numFmtId="0" fontId="3" fillId="2" borderId="14" xfId="0" applyFont="1" applyFill="1" applyBorder="1"/>
    <xf numFmtId="0" fontId="3" fillId="2" borderId="15" xfId="0" applyFont="1" applyFill="1" applyBorder="1"/>
    <xf numFmtId="0" fontId="3" fillId="2" borderId="16" xfId="0" applyFont="1" applyFill="1" applyBorder="1"/>
    <xf numFmtId="0" fontId="6" fillId="3" borderId="24" xfId="0" applyFont="1" applyFill="1" applyBorder="1" applyAlignment="1">
      <alignment wrapText="1"/>
    </xf>
    <xf numFmtId="164" fontId="6" fillId="0" borderId="25" xfId="0" applyNumberFormat="1" applyFont="1" applyBorder="1"/>
    <xf numFmtId="9" fontId="6" fillId="0" borderId="25" xfId="2" applyFont="1" applyBorder="1"/>
    <xf numFmtId="9" fontId="6" fillId="0" borderId="26" xfId="2" applyFont="1" applyBorder="1"/>
    <xf numFmtId="0" fontId="7" fillId="3" borderId="27" xfId="0" applyFont="1" applyFill="1" applyBorder="1" applyAlignment="1">
      <alignment horizontal="right"/>
    </xf>
    <xf numFmtId="164" fontId="7" fillId="0" borderId="28" xfId="0" applyNumberFormat="1" applyFont="1" applyBorder="1"/>
    <xf numFmtId="9" fontId="7" fillId="0" borderId="28" xfId="2" applyFont="1" applyBorder="1"/>
    <xf numFmtId="0" fontId="7" fillId="3" borderId="30" xfId="0" applyFont="1" applyFill="1" applyBorder="1" applyAlignment="1">
      <alignment horizontal="right"/>
    </xf>
    <xf numFmtId="164" fontId="7" fillId="0" borderId="31" xfId="0" applyNumberFormat="1" applyFont="1" applyBorder="1"/>
    <xf numFmtId="9" fontId="7" fillId="0" borderId="31" xfId="2" applyFont="1" applyBorder="1"/>
    <xf numFmtId="0" fontId="6" fillId="0" borderId="19" xfId="0" applyFont="1" applyBorder="1"/>
    <xf numFmtId="164" fontId="6" fillId="0" borderId="20" xfId="0" applyNumberFormat="1" applyFont="1" applyBorder="1"/>
    <xf numFmtId="9" fontId="6" fillId="0" borderId="20" xfId="2" applyFont="1" applyBorder="1"/>
    <xf numFmtId="9" fontId="6" fillId="0" borderId="21" xfId="2" applyFont="1" applyBorder="1"/>
    <xf numFmtId="0" fontId="5" fillId="2" borderId="22" xfId="0" applyFont="1" applyFill="1" applyBorder="1"/>
    <xf numFmtId="164" fontId="5" fillId="2" borderId="23" xfId="0" applyNumberFormat="1" applyFont="1" applyFill="1" applyBorder="1"/>
    <xf numFmtId="0" fontId="2" fillId="0" borderId="11" xfId="0" applyFont="1" applyBorder="1"/>
    <xf numFmtId="0" fontId="2" fillId="0" borderId="12" xfId="0" applyFont="1" applyBorder="1"/>
    <xf numFmtId="44" fontId="2" fillId="0" borderId="12" xfId="1" applyFont="1" applyBorder="1"/>
    <xf numFmtId="164" fontId="2" fillId="0" borderId="13" xfId="1" applyNumberFormat="1" applyFont="1" applyBorder="1"/>
    <xf numFmtId="0" fontId="2" fillId="0" borderId="17" xfId="0" applyFont="1" applyBorder="1"/>
    <xf numFmtId="164" fontId="2" fillId="0" borderId="17" xfId="0" applyNumberFormat="1" applyFont="1" applyBorder="1"/>
    <xf numFmtId="9" fontId="2" fillId="0" borderId="17" xfId="2" applyFont="1" applyBorder="1"/>
    <xf numFmtId="0" fontId="5" fillId="2" borderId="3" xfId="0" applyFont="1" applyFill="1" applyBorder="1"/>
    <xf numFmtId="0" fontId="2" fillId="0" borderId="4" xfId="0" applyFont="1" applyBorder="1"/>
    <xf numFmtId="44" fontId="2" fillId="0" borderId="4" xfId="1" applyFont="1" applyBorder="1"/>
    <xf numFmtId="164" fontId="2" fillId="0" borderId="5" xfId="1" applyNumberFormat="1" applyFont="1" applyBorder="1"/>
    <xf numFmtId="0" fontId="5" fillId="2" borderId="19" xfId="0" applyFont="1" applyFill="1" applyBorder="1"/>
    <xf numFmtId="0" fontId="3" fillId="2" borderId="20" xfId="0" applyFont="1" applyFill="1" applyBorder="1"/>
    <xf numFmtId="0" fontId="3" fillId="2" borderId="21" xfId="0" applyFont="1" applyFill="1" applyBorder="1"/>
    <xf numFmtId="0" fontId="6" fillId="0" borderId="3" xfId="0" applyFont="1" applyBorder="1" applyAlignment="1">
      <alignment wrapText="1"/>
    </xf>
    <xf numFmtId="164" fontId="6" fillId="0" borderId="4" xfId="0" applyNumberFormat="1" applyFont="1" applyBorder="1"/>
    <xf numFmtId="9" fontId="6" fillId="0" borderId="4" xfId="2" applyFont="1" applyBorder="1"/>
    <xf numFmtId="9" fontId="6" fillId="0" borderId="5" xfId="2" applyFont="1" applyBorder="1"/>
    <xf numFmtId="0" fontId="7" fillId="3" borderId="6" xfId="0" applyFont="1" applyFill="1" applyBorder="1" applyAlignment="1">
      <alignment horizontal="right"/>
    </xf>
    <xf numFmtId="164" fontId="7" fillId="0" borderId="1" xfId="0" applyNumberFormat="1" applyFont="1" applyBorder="1"/>
    <xf numFmtId="9" fontId="7" fillId="0" borderId="1" xfId="2" applyFont="1" applyBorder="1"/>
    <xf numFmtId="9" fontId="7" fillId="0" borderId="7" xfId="2" applyFont="1" applyBorder="1"/>
    <xf numFmtId="0" fontId="2" fillId="0" borderId="8" xfId="0" applyFont="1" applyBorder="1"/>
    <xf numFmtId="0" fontId="2" fillId="0" borderId="9" xfId="0" applyFont="1" applyBorder="1"/>
    <xf numFmtId="44" fontId="2" fillId="0" borderId="9" xfId="1" applyFont="1" applyBorder="1"/>
    <xf numFmtId="164" fontId="2" fillId="0" borderId="10" xfId="1" applyNumberFormat="1" applyFont="1" applyBorder="1"/>
    <xf numFmtId="164" fontId="2" fillId="0" borderId="0" xfId="1" applyNumberFormat="1" applyFont="1"/>
    <xf numFmtId="0" fontId="7" fillId="3" borderId="8" xfId="0" applyFont="1" applyFill="1" applyBorder="1" applyAlignment="1">
      <alignment horizontal="right"/>
    </xf>
    <xf numFmtId="164" fontId="7" fillId="0" borderId="9" xfId="0" applyNumberFormat="1" applyFont="1" applyBorder="1"/>
    <xf numFmtId="0" fontId="5" fillId="2" borderId="34" xfId="0" applyFont="1" applyFill="1" applyBorder="1"/>
    <xf numFmtId="164" fontId="5" fillId="2" borderId="18" xfId="0" applyNumberFormat="1" applyFont="1" applyFill="1" applyBorder="1"/>
    <xf numFmtId="9" fontId="5" fillId="2" borderId="18" xfId="2" applyFont="1" applyFill="1" applyBorder="1"/>
    <xf numFmtId="9" fontId="5" fillId="2" borderId="35" xfId="2" applyFont="1" applyFill="1" applyBorder="1"/>
    <xf numFmtId="0" fontId="4" fillId="0" borderId="17" xfId="0" applyFont="1" applyBorder="1"/>
    <xf numFmtId="164" fontId="8" fillId="0" borderId="17" xfId="0" applyNumberFormat="1" applyFont="1" applyBorder="1"/>
    <xf numFmtId="164" fontId="2" fillId="0" borderId="0" xfId="0" applyNumberFormat="1" applyFont="1"/>
    <xf numFmtId="164" fontId="2" fillId="2" borderId="2" xfId="1" applyNumberFormat="1" applyFont="1" applyFill="1" applyBorder="1"/>
    <xf numFmtId="44" fontId="5" fillId="2" borderId="32" xfId="1" applyFont="1" applyFill="1" applyBorder="1"/>
    <xf numFmtId="0" fontId="9" fillId="0" borderId="0" xfId="0" applyFont="1" applyAlignment="1">
      <alignment vertical="center"/>
    </xf>
    <xf numFmtId="0" fontId="6" fillId="3" borderId="24" xfId="0" applyFont="1" applyFill="1" applyBorder="1"/>
    <xf numFmtId="0" fontId="7" fillId="3" borderId="37" xfId="0" applyFont="1" applyFill="1" applyBorder="1" applyAlignment="1">
      <alignment horizontal="right"/>
    </xf>
    <xf numFmtId="164" fontId="7" fillId="0" borderId="38" xfId="0" applyNumberFormat="1" applyFont="1" applyBorder="1"/>
    <xf numFmtId="0" fontId="11" fillId="0" borderId="0" xfId="0" applyFont="1"/>
    <xf numFmtId="9" fontId="2" fillId="0" borderId="29" xfId="2" applyFont="1" applyBorder="1"/>
    <xf numFmtId="9" fontId="2" fillId="0" borderId="39" xfId="2" applyFont="1" applyBorder="1"/>
    <xf numFmtId="9" fontId="2" fillId="0" borderId="40" xfId="2" applyFont="1" applyBorder="1"/>
    <xf numFmtId="9" fontId="5" fillId="2" borderId="41" xfId="2" applyFont="1" applyFill="1" applyBorder="1"/>
    <xf numFmtId="9" fontId="6" fillId="0" borderId="16" xfId="2" applyFont="1" applyBorder="1"/>
    <xf numFmtId="0" fontId="15" fillId="2" borderId="27" xfId="0" applyFont="1" applyFill="1" applyBorder="1" applyAlignment="1">
      <alignment horizontal="right"/>
    </xf>
    <xf numFmtId="0" fontId="15" fillId="2" borderId="30" xfId="0" applyFont="1" applyFill="1" applyBorder="1" applyAlignment="1">
      <alignment horizontal="right"/>
    </xf>
    <xf numFmtId="164" fontId="5" fillId="2" borderId="20" xfId="0" applyNumberFormat="1" applyFont="1" applyFill="1" applyBorder="1"/>
    <xf numFmtId="9" fontId="5" fillId="2" borderId="20" xfId="2" applyFont="1" applyFill="1" applyBorder="1"/>
    <xf numFmtId="9" fontId="5" fillId="2" borderId="21" xfId="2" applyFont="1" applyFill="1" applyBorder="1"/>
    <xf numFmtId="1" fontId="2" fillId="0" borderId="1" xfId="0" applyNumberFormat="1" applyFont="1" applyBorder="1"/>
    <xf numFmtId="1" fontId="2" fillId="0" borderId="12" xfId="0" applyNumberFormat="1" applyFont="1" applyBorder="1"/>
    <xf numFmtId="1" fontId="2" fillId="0" borderId="4" xfId="0" applyNumberFormat="1" applyFont="1" applyBorder="1"/>
    <xf numFmtId="1" fontId="2" fillId="0" borderId="9" xfId="0" applyNumberFormat="1" applyFont="1" applyBorder="1"/>
    <xf numFmtId="164" fontId="4" fillId="2" borderId="29" xfId="0" applyNumberFormat="1" applyFont="1" applyFill="1" applyBorder="1" applyAlignment="1">
      <alignment vertical="center"/>
    </xf>
    <xf numFmtId="164" fontId="6" fillId="2" borderId="29" xfId="0" applyNumberFormat="1" applyFont="1" applyFill="1" applyBorder="1" applyAlignment="1">
      <alignment vertical="center"/>
    </xf>
    <xf numFmtId="164" fontId="6" fillId="2" borderId="39" xfId="0" applyNumberFormat="1" applyFont="1" applyFill="1" applyBorder="1" applyAlignment="1">
      <alignment vertical="center"/>
    </xf>
    <xf numFmtId="0" fontId="6" fillId="0" borderId="0" xfId="0" applyFont="1" applyAlignment="1">
      <alignment horizontal="center" vertical="center"/>
    </xf>
    <xf numFmtId="165" fontId="6" fillId="0" borderId="0" xfId="2" applyNumberFormat="1" applyFont="1" applyAlignment="1">
      <alignment horizontal="center" vertical="center"/>
    </xf>
    <xf numFmtId="164" fontId="5" fillId="2" borderId="23" xfId="0" applyNumberFormat="1" applyFont="1" applyFill="1" applyBorder="1" applyAlignment="1">
      <alignment vertical="center"/>
    </xf>
    <xf numFmtId="9" fontId="5" fillId="2" borderId="23" xfId="2" applyFont="1" applyFill="1" applyBorder="1" applyAlignment="1">
      <alignment vertical="center"/>
    </xf>
    <xf numFmtId="9" fontId="5" fillId="2" borderId="21" xfId="2" applyFont="1" applyFill="1" applyBorder="1" applyAlignment="1">
      <alignment vertical="center"/>
    </xf>
    <xf numFmtId="0" fontId="5" fillId="2" borderId="34" xfId="0" applyFont="1" applyFill="1" applyBorder="1" applyAlignment="1">
      <alignment vertical="center"/>
    </xf>
    <xf numFmtId="164" fontId="5" fillId="2" borderId="18" xfId="0" applyNumberFormat="1" applyFont="1" applyFill="1" applyBorder="1" applyAlignment="1">
      <alignment vertical="center"/>
    </xf>
    <xf numFmtId="9" fontId="5" fillId="2" borderId="18" xfId="2" applyFont="1" applyFill="1" applyBorder="1" applyAlignment="1">
      <alignment vertical="center"/>
    </xf>
    <xf numFmtId="9" fontId="5" fillId="2" borderId="35" xfId="2" applyFont="1" applyFill="1" applyBorder="1" applyAlignment="1">
      <alignment vertical="center"/>
    </xf>
    <xf numFmtId="9" fontId="6" fillId="0" borderId="0" xfId="2" applyFont="1" applyAlignment="1">
      <alignment horizontal="center" vertical="center"/>
    </xf>
    <xf numFmtId="0" fontId="2" fillId="0" borderId="0" xfId="0" applyFont="1" applyAlignment="1">
      <alignment horizontal="right"/>
    </xf>
    <xf numFmtId="1" fontId="12" fillId="2" borderId="39" xfId="0" applyNumberFormat="1" applyFont="1" applyFill="1" applyBorder="1" applyAlignment="1">
      <alignment vertical="center"/>
    </xf>
    <xf numFmtId="164" fontId="6" fillId="2" borderId="21" xfId="0" applyNumberFormat="1" applyFont="1" applyFill="1" applyBorder="1" applyAlignment="1">
      <alignment horizontal="right" vertical="center"/>
    </xf>
    <xf numFmtId="1" fontId="12" fillId="2" borderId="40" xfId="0" applyNumberFormat="1" applyFont="1" applyFill="1" applyBorder="1" applyAlignment="1">
      <alignment vertical="center"/>
    </xf>
    <xf numFmtId="164" fontId="3" fillId="2" borderId="7" xfId="0" applyNumberFormat="1" applyFont="1" applyFill="1" applyBorder="1" applyAlignment="1">
      <alignment horizontal="right" vertical="center" wrapText="1" readingOrder="1"/>
    </xf>
    <xf numFmtId="164" fontId="13" fillId="2" borderId="7" xfId="0" applyNumberFormat="1" applyFont="1" applyFill="1" applyBorder="1" applyAlignment="1">
      <alignment horizontal="right" vertical="center" wrapText="1" readingOrder="1"/>
    </xf>
    <xf numFmtId="44" fontId="13" fillId="3" borderId="5" xfId="1" applyFont="1" applyFill="1" applyBorder="1" applyAlignment="1">
      <alignment horizontal="right" vertical="center" wrapText="1" readingOrder="1"/>
    </xf>
    <xf numFmtId="44" fontId="13" fillId="3" borderId="7" xfId="1" applyFont="1" applyFill="1" applyBorder="1" applyAlignment="1">
      <alignment horizontal="right" vertical="center" wrapText="1" readingOrder="1"/>
    </xf>
    <xf numFmtId="1" fontId="3" fillId="2" borderId="10" xfId="0" applyNumberFormat="1" applyFont="1" applyFill="1" applyBorder="1" applyAlignment="1">
      <alignment horizontal="right" vertical="center" wrapText="1" readingOrder="1"/>
    </xf>
    <xf numFmtId="0" fontId="3" fillId="2" borderId="3" xfId="0" applyFont="1" applyFill="1" applyBorder="1" applyAlignment="1">
      <alignment wrapText="1"/>
    </xf>
    <xf numFmtId="0" fontId="3" fillId="2" borderId="14" xfId="0" applyFont="1" applyFill="1" applyBorder="1" applyAlignment="1">
      <alignment wrapText="1"/>
    </xf>
    <xf numFmtId="0" fontId="19" fillId="0" borderId="0" xfId="0" applyFont="1" applyAlignment="1">
      <alignment vertical="center" wrapText="1"/>
    </xf>
    <xf numFmtId="164" fontId="4" fillId="2" borderId="2" xfId="1" applyNumberFormat="1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 wrapText="1"/>
    </xf>
    <xf numFmtId="0" fontId="3" fillId="2" borderId="6" xfId="0" applyFont="1" applyFill="1" applyBorder="1" applyAlignment="1">
      <alignment horizontal="left" vertical="center" wrapText="1" readingOrder="1"/>
    </xf>
    <xf numFmtId="0" fontId="3" fillId="2" borderId="1" xfId="0" applyFont="1" applyFill="1" applyBorder="1" applyAlignment="1">
      <alignment horizontal="left" vertical="center" wrapText="1" readingOrder="1"/>
    </xf>
    <xf numFmtId="0" fontId="13" fillId="2" borderId="6" xfId="0" applyFont="1" applyFill="1" applyBorder="1" applyAlignment="1">
      <alignment horizontal="left" vertical="center" wrapText="1" readingOrder="1"/>
    </xf>
    <xf numFmtId="0" fontId="13" fillId="2" borderId="1" xfId="0" applyFont="1" applyFill="1" applyBorder="1" applyAlignment="1">
      <alignment horizontal="left" vertical="center" wrapText="1" readingOrder="1"/>
    </xf>
    <xf numFmtId="0" fontId="3" fillId="2" borderId="8" xfId="0" applyFont="1" applyFill="1" applyBorder="1" applyAlignment="1">
      <alignment horizontal="left" vertical="center" wrapText="1" readingOrder="1"/>
    </xf>
    <xf numFmtId="0" fontId="3" fillId="2" borderId="9" xfId="0" applyFont="1" applyFill="1" applyBorder="1" applyAlignment="1">
      <alignment horizontal="left" vertical="center" wrapText="1" readingOrder="1"/>
    </xf>
    <xf numFmtId="0" fontId="18" fillId="2" borderId="47" xfId="0" applyFont="1" applyFill="1" applyBorder="1" applyAlignment="1">
      <alignment horizontal="center" vertical="center" wrapText="1" readingOrder="1"/>
    </xf>
    <xf numFmtId="0" fontId="18" fillId="2" borderId="17" xfId="0" applyFont="1" applyFill="1" applyBorder="1" applyAlignment="1">
      <alignment horizontal="center" vertical="center" wrapText="1" readingOrder="1"/>
    </xf>
    <xf numFmtId="0" fontId="18" fillId="2" borderId="48" xfId="0" applyFont="1" applyFill="1" applyBorder="1" applyAlignment="1">
      <alignment horizontal="center" vertical="center" wrapText="1" readingOrder="1"/>
    </xf>
    <xf numFmtId="0" fontId="13" fillId="3" borderId="3" xfId="0" applyFont="1" applyFill="1" applyBorder="1" applyAlignment="1">
      <alignment horizontal="left" vertical="center" wrapText="1" readingOrder="1"/>
    </xf>
    <xf numFmtId="0" fontId="13" fillId="3" borderId="4" xfId="0" applyFont="1" applyFill="1" applyBorder="1" applyAlignment="1">
      <alignment horizontal="left" vertical="center" wrapText="1" readingOrder="1"/>
    </xf>
    <xf numFmtId="0" fontId="13" fillId="3" borderId="6" xfId="0" applyFont="1" applyFill="1" applyBorder="1" applyAlignment="1">
      <alignment horizontal="left" vertical="center" wrapText="1" readingOrder="1"/>
    </xf>
    <xf numFmtId="0" fontId="13" fillId="3" borderId="1" xfId="0" applyFont="1" applyFill="1" applyBorder="1" applyAlignment="1">
      <alignment horizontal="left" vertical="center" wrapText="1" readingOrder="1"/>
    </xf>
    <xf numFmtId="164" fontId="14" fillId="2" borderId="30" xfId="0" applyNumberFormat="1" applyFont="1" applyFill="1" applyBorder="1" applyAlignment="1">
      <alignment horizontal="center" vertical="center"/>
    </xf>
    <xf numFmtId="164" fontId="14" fillId="2" borderId="31" xfId="0" applyNumberFormat="1" applyFont="1" applyFill="1" applyBorder="1" applyAlignment="1">
      <alignment horizontal="center" vertical="center"/>
    </xf>
    <xf numFmtId="0" fontId="4" fillId="2" borderId="32" xfId="0" applyFont="1" applyFill="1" applyBorder="1" applyAlignment="1">
      <alignment horizontal="left" vertical="center"/>
    </xf>
    <xf numFmtId="0" fontId="4" fillId="2" borderId="33" xfId="0" applyFont="1" applyFill="1" applyBorder="1" applyAlignment="1">
      <alignment horizontal="left" vertical="center"/>
    </xf>
    <xf numFmtId="0" fontId="9" fillId="0" borderId="36" xfId="0" applyFont="1" applyBorder="1" applyAlignment="1">
      <alignment horizontal="center" vertical="center" wrapText="1"/>
    </xf>
    <xf numFmtId="164" fontId="14" fillId="2" borderId="27" xfId="0" applyNumberFormat="1" applyFont="1" applyFill="1" applyBorder="1" applyAlignment="1">
      <alignment horizontal="center" vertical="center"/>
    </xf>
    <xf numFmtId="164" fontId="14" fillId="2" borderId="28" xfId="0" applyNumberFormat="1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 wrapText="1"/>
    </xf>
    <xf numFmtId="0" fontId="9" fillId="2" borderId="25" xfId="0" applyFont="1" applyFill="1" applyBorder="1" applyAlignment="1">
      <alignment horizontal="center" vertical="center" wrapText="1"/>
    </xf>
    <xf numFmtId="0" fontId="9" fillId="2" borderId="26" xfId="0" applyFont="1" applyFill="1" applyBorder="1" applyAlignment="1">
      <alignment horizontal="center" vertical="center" wrapText="1"/>
    </xf>
    <xf numFmtId="164" fontId="4" fillId="2" borderId="27" xfId="0" applyNumberFormat="1" applyFont="1" applyFill="1" applyBorder="1" applyAlignment="1">
      <alignment horizontal="center" vertical="center"/>
    </xf>
    <xf numFmtId="164" fontId="4" fillId="2" borderId="28" xfId="0" applyNumberFormat="1" applyFont="1" applyFill="1" applyBorder="1" applyAlignment="1">
      <alignment horizontal="center" vertical="center"/>
    </xf>
    <xf numFmtId="164" fontId="6" fillId="2" borderId="32" xfId="0" applyNumberFormat="1" applyFont="1" applyFill="1" applyBorder="1" applyAlignment="1">
      <alignment horizontal="left" vertical="center" wrapText="1"/>
    </xf>
    <xf numFmtId="164" fontId="6" fillId="2" borderId="44" xfId="0" applyNumberFormat="1" applyFont="1" applyFill="1" applyBorder="1" applyAlignment="1">
      <alignment horizontal="left" vertical="center" wrapText="1"/>
    </xf>
    <xf numFmtId="164" fontId="12" fillId="2" borderId="45" xfId="0" applyNumberFormat="1" applyFont="1" applyFill="1" applyBorder="1" applyAlignment="1">
      <alignment horizontal="left" vertical="center"/>
    </xf>
    <xf numFmtId="164" fontId="12" fillId="2" borderId="46" xfId="0" applyNumberFormat="1" applyFont="1" applyFill="1" applyBorder="1" applyAlignment="1">
      <alignment horizontal="left" vertical="center"/>
    </xf>
    <xf numFmtId="164" fontId="12" fillId="2" borderId="42" xfId="0" applyNumberFormat="1" applyFont="1" applyFill="1" applyBorder="1" applyAlignment="1">
      <alignment horizontal="left" vertical="center"/>
    </xf>
    <xf numFmtId="164" fontId="12" fillId="2" borderId="43" xfId="0" applyNumberFormat="1" applyFont="1" applyFill="1" applyBorder="1" applyAlignment="1">
      <alignment horizontal="left" vertical="center"/>
    </xf>
    <xf numFmtId="164" fontId="6" fillId="2" borderId="32" xfId="0" applyNumberFormat="1" applyFont="1" applyFill="1" applyBorder="1" applyAlignment="1">
      <alignment horizontal="left" vertical="center"/>
    </xf>
    <xf numFmtId="164" fontId="6" fillId="2" borderId="44" xfId="0" applyNumberFormat="1" applyFont="1" applyFill="1" applyBorder="1" applyAlignment="1">
      <alignment horizontal="left" vertical="center"/>
    </xf>
    <xf numFmtId="0" fontId="4" fillId="2" borderId="32" xfId="0" applyFont="1" applyFill="1" applyBorder="1" applyAlignment="1">
      <alignment horizontal="center" vertical="center" wrapText="1"/>
    </xf>
    <xf numFmtId="0" fontId="4" fillId="2" borderId="44" xfId="0" applyFont="1" applyFill="1" applyBorder="1" applyAlignment="1">
      <alignment horizontal="center" vertical="center" wrapText="1"/>
    </xf>
    <xf numFmtId="0" fontId="20" fillId="0" borderId="49" xfId="0" applyFont="1" applyBorder="1" applyAlignment="1">
      <alignment horizontal="center" vertical="center" wrapText="1"/>
    </xf>
  </cellXfs>
  <cellStyles count="3">
    <cellStyle name="Monétaire" xfId="1" builtinId="4"/>
    <cellStyle name="Normal" xfId="0" builtinId="0"/>
    <cellStyle name="Pourcentage" xfId="2" builtinId="5"/>
  </cellStyles>
  <dxfs count="0"/>
  <tableStyles count="0" defaultTableStyle="TableStyleMedium2" defaultPivotStyle="PivotStyleLight16"/>
  <colors>
    <mruColors>
      <color rgb="FFFFD800"/>
      <color rgb="FF004C5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4984A8-8316-4990-833F-B07A653F02B1}">
  <sheetPr>
    <pageSetUpPr fitToPage="1"/>
  </sheetPr>
  <dimension ref="A1:Y51"/>
  <sheetViews>
    <sheetView showGridLines="0" tabSelected="1" topLeftCell="N2" zoomScale="70" zoomScaleNormal="70" workbookViewId="0">
      <selection activeCell="T19" sqref="T19"/>
    </sheetView>
  </sheetViews>
  <sheetFormatPr baseColWidth="10" defaultColWidth="11.44140625" defaultRowHeight="13.8"/>
  <cols>
    <col min="1" max="1" width="21.5546875" style="1" customWidth="1"/>
    <col min="2" max="2" width="11.44140625" style="1"/>
    <col min="3" max="3" width="22.6640625" style="1" customWidth="1"/>
    <col min="4" max="4" width="17.6640625" style="1" customWidth="1"/>
    <col min="5" max="5" width="42.33203125" style="1" customWidth="1"/>
    <col min="6" max="6" width="26.88671875" style="1" customWidth="1"/>
    <col min="7" max="7" width="21.44140625" style="1" customWidth="1"/>
    <col min="8" max="8" width="7.5546875" style="1" customWidth="1"/>
    <col min="9" max="9" width="75.88671875" style="1" customWidth="1"/>
    <col min="10" max="10" width="24.109375" style="1" customWidth="1"/>
    <col min="11" max="11" width="27.6640625" style="1" customWidth="1"/>
    <col min="12" max="12" width="28" style="1" customWidth="1"/>
    <col min="13" max="13" width="9.33203125" style="1" customWidth="1"/>
    <col min="14" max="14" width="81.88671875" style="1" customWidth="1"/>
    <col min="15" max="15" width="29.44140625" style="1" customWidth="1"/>
    <col min="16" max="16" width="33.33203125" style="1" customWidth="1"/>
    <col min="17" max="17" width="28.5546875" style="1" customWidth="1"/>
    <col min="18" max="18" width="6.33203125" style="1" customWidth="1"/>
    <col min="19" max="19" width="75.88671875" style="1" customWidth="1"/>
    <col min="20" max="20" width="29" style="1" customWidth="1"/>
    <col min="21" max="21" width="27.6640625" style="1" customWidth="1"/>
    <col min="22" max="22" width="28" style="1" customWidth="1"/>
    <col min="23" max="16384" width="11.44140625" style="1"/>
  </cols>
  <sheetData>
    <row r="1" spans="1:25" ht="141.75" customHeight="1" thickBot="1">
      <c r="A1" s="131" t="s">
        <v>89</v>
      </c>
      <c r="B1" s="131"/>
      <c r="C1" s="131"/>
      <c r="D1" s="131"/>
      <c r="E1" s="131"/>
      <c r="F1" s="131"/>
      <c r="G1" s="131"/>
      <c r="H1" s="68"/>
      <c r="I1" s="131" t="s">
        <v>90</v>
      </c>
      <c r="J1" s="131"/>
      <c r="K1" s="131"/>
      <c r="L1" s="131"/>
      <c r="M1" s="65"/>
      <c r="N1" s="131" t="s">
        <v>91</v>
      </c>
      <c r="O1" s="131"/>
      <c r="P1" s="131"/>
      <c r="Q1" s="131"/>
      <c r="R1" s="68"/>
      <c r="S1" s="131" t="s">
        <v>92</v>
      </c>
      <c r="T1" s="131"/>
      <c r="U1" s="131"/>
      <c r="V1" s="131"/>
      <c r="W1" s="68"/>
      <c r="X1" s="68"/>
      <c r="Y1" s="68"/>
    </row>
    <row r="2" spans="1:25" ht="35.4" thickBot="1">
      <c r="A2" s="109" t="s">
        <v>44</v>
      </c>
      <c r="B2" s="2" t="s">
        <v>5</v>
      </c>
      <c r="C2" s="2" t="s">
        <v>42</v>
      </c>
      <c r="D2" s="2" t="s">
        <v>15</v>
      </c>
      <c r="E2" s="2" t="s">
        <v>88</v>
      </c>
      <c r="F2" s="3" t="s">
        <v>50</v>
      </c>
      <c r="G2" s="4" t="s">
        <v>19</v>
      </c>
      <c r="I2" s="129" t="s">
        <v>61</v>
      </c>
      <c r="J2" s="130"/>
      <c r="K2" s="130"/>
      <c r="L2" s="5">
        <f>J10+J18+J20</f>
        <v>3080056.25</v>
      </c>
      <c r="N2" s="129" t="s">
        <v>61</v>
      </c>
      <c r="O2" s="130"/>
      <c r="P2" s="130"/>
      <c r="Q2" s="5">
        <f>+O13+O22</f>
        <v>3156316.25</v>
      </c>
      <c r="S2" s="129" t="s">
        <v>61</v>
      </c>
      <c r="T2" s="130"/>
      <c r="U2" s="130"/>
      <c r="V2" s="5">
        <f>T11+T20</f>
        <v>2745436.25</v>
      </c>
    </row>
    <row r="3" spans="1:25" ht="38.25" customHeight="1" thickBot="1">
      <c r="A3" s="6" t="s">
        <v>0</v>
      </c>
      <c r="B3" s="7"/>
      <c r="C3" s="7" t="s">
        <v>8</v>
      </c>
      <c r="D3" s="83">
        <f>$B$4*$B$6</f>
        <v>590</v>
      </c>
      <c r="E3" s="7" t="s">
        <v>28</v>
      </c>
      <c r="F3" s="8">
        <v>220</v>
      </c>
      <c r="G3" s="9">
        <f>+F3*D3</f>
        <v>129800</v>
      </c>
      <c r="J3" s="65"/>
      <c r="K3" s="90" t="s">
        <v>69</v>
      </c>
      <c r="L3" s="91">
        <f>(L2-L23)/L23</f>
        <v>-1.4066501280409731E-2</v>
      </c>
      <c r="P3" s="90" t="s">
        <v>69</v>
      </c>
      <c r="Q3" s="91">
        <f>(Q2-Q25)/Q25</f>
        <v>1.0344510243277849E-2</v>
      </c>
      <c r="T3" s="65"/>
      <c r="U3" s="90" t="s">
        <v>69</v>
      </c>
      <c r="V3" s="99">
        <f>(V2-V23)/V23</f>
        <v>-0.12117917733674775</v>
      </c>
    </row>
    <row r="4" spans="1:25" ht="38.25" customHeight="1" thickBot="1">
      <c r="A4" s="10" t="s">
        <v>2</v>
      </c>
      <c r="B4" s="7">
        <v>29.5</v>
      </c>
      <c r="C4" s="7" t="s">
        <v>9</v>
      </c>
      <c r="D4" s="83">
        <f t="shared" ref="D4:D6" si="0">$B$4*$B$6</f>
        <v>590</v>
      </c>
      <c r="E4" s="7" t="s">
        <v>28</v>
      </c>
      <c r="F4" s="8">
        <v>220</v>
      </c>
      <c r="G4" s="9">
        <f t="shared" ref="G4:G9" si="1">+F4*D4</f>
        <v>129800</v>
      </c>
      <c r="I4" s="11" t="s">
        <v>37</v>
      </c>
      <c r="J4" s="12"/>
      <c r="K4" s="12" t="s">
        <v>46</v>
      </c>
      <c r="L4" s="13" t="s">
        <v>41</v>
      </c>
      <c r="N4" s="11" t="s">
        <v>37</v>
      </c>
      <c r="O4" s="12"/>
      <c r="P4" s="12" t="s">
        <v>46</v>
      </c>
      <c r="Q4" s="13" t="s">
        <v>41</v>
      </c>
      <c r="S4" s="11" t="s">
        <v>37</v>
      </c>
      <c r="T4" s="12"/>
      <c r="U4" s="12" t="s">
        <v>46</v>
      </c>
      <c r="V4" s="13" t="s">
        <v>41</v>
      </c>
    </row>
    <row r="5" spans="1:25" ht="21.75" customHeight="1">
      <c r="A5" s="10" t="s">
        <v>3</v>
      </c>
      <c r="B5" s="7">
        <v>29.5</v>
      </c>
      <c r="C5" s="7" t="s">
        <v>10</v>
      </c>
      <c r="D5" s="83">
        <f t="shared" si="0"/>
        <v>590</v>
      </c>
      <c r="E5" s="7" t="s">
        <v>28</v>
      </c>
      <c r="F5" s="8">
        <v>220</v>
      </c>
      <c r="G5" s="9">
        <f t="shared" si="1"/>
        <v>129800</v>
      </c>
      <c r="I5" s="14" t="s">
        <v>35</v>
      </c>
      <c r="J5" s="15">
        <f>SUM(J6:J7)</f>
        <v>1194160</v>
      </c>
      <c r="K5" s="16">
        <f>J5/$J$10</f>
        <v>0.86705723789599798</v>
      </c>
      <c r="L5" s="17">
        <f t="shared" ref="L5:L10" si="2">+J5/$L$2</f>
        <v>0.38770720502263556</v>
      </c>
      <c r="N5" s="69" t="s">
        <v>35</v>
      </c>
      <c r="O5" s="15">
        <f>SUM(O6:O10)</f>
        <v>1712420</v>
      </c>
      <c r="P5" s="16">
        <f>O5/$O$13</f>
        <v>0.90340560256341773</v>
      </c>
      <c r="Q5" s="17">
        <f>+O5/$Q$2</f>
        <v>0.54253752297476532</v>
      </c>
      <c r="S5" s="14" t="s">
        <v>35</v>
      </c>
      <c r="T5" s="15">
        <f>SUM(T6:T8)</f>
        <v>1301540</v>
      </c>
      <c r="U5" s="16">
        <f>T5/$T$11</f>
        <v>0.87667265298149633</v>
      </c>
      <c r="V5" s="17">
        <f t="shared" ref="V5:V10" si="3">+T5/$L$2</f>
        <v>0.42257020468376189</v>
      </c>
    </row>
    <row r="6" spans="1:25" ht="21.75" customHeight="1">
      <c r="A6" s="10" t="s">
        <v>4</v>
      </c>
      <c r="B6" s="7">
        <v>20</v>
      </c>
      <c r="C6" s="7" t="s">
        <v>11</v>
      </c>
      <c r="D6" s="83">
        <f t="shared" si="0"/>
        <v>590</v>
      </c>
      <c r="E6" s="7" t="s">
        <v>28</v>
      </c>
      <c r="F6" s="8">
        <v>220</v>
      </c>
      <c r="G6" s="9">
        <f t="shared" si="1"/>
        <v>129800</v>
      </c>
      <c r="I6" s="18" t="s">
        <v>49</v>
      </c>
      <c r="J6" s="19">
        <f>G3+G4+G5+G6</f>
        <v>519200</v>
      </c>
      <c r="K6" s="20">
        <f>J6/J10</f>
        <v>0.37698140778086864</v>
      </c>
      <c r="L6" s="73">
        <f t="shared" si="2"/>
        <v>0.16856835000984155</v>
      </c>
      <c r="N6" s="78" t="s">
        <v>60</v>
      </c>
      <c r="O6" s="19">
        <v>1000000</v>
      </c>
      <c r="P6" s="20">
        <f t="shared" ref="P6:P10" si="4">O6/$O$13</f>
        <v>0.52756076345955882</v>
      </c>
      <c r="Q6" s="75">
        <f t="shared" ref="Q6:Q12" si="5">+O6/$Q$2</f>
        <v>0.31682503297950576</v>
      </c>
      <c r="S6" s="18" t="s">
        <v>49</v>
      </c>
      <c r="T6" s="19">
        <f>+J6</f>
        <v>519200</v>
      </c>
      <c r="U6" s="20">
        <f>T6/T11</f>
        <v>0.34971529221383352</v>
      </c>
      <c r="V6" s="73">
        <f t="shared" si="3"/>
        <v>0.16856835000984155</v>
      </c>
    </row>
    <row r="7" spans="1:25" ht="21.75" customHeight="1" thickBot="1">
      <c r="A7" s="10" t="s">
        <v>43</v>
      </c>
      <c r="B7" s="7">
        <v>15</v>
      </c>
      <c r="C7" s="7" t="s">
        <v>32</v>
      </c>
      <c r="D7" s="83">
        <f>B4*B4</f>
        <v>870.25</v>
      </c>
      <c r="E7" s="7" t="s">
        <v>54</v>
      </c>
      <c r="F7" s="8">
        <v>45</v>
      </c>
      <c r="G7" s="9">
        <f t="shared" si="1"/>
        <v>39161.25</v>
      </c>
      <c r="I7" s="18" t="s">
        <v>14</v>
      </c>
      <c r="J7" s="19">
        <f>+G10+G11</f>
        <v>674960</v>
      </c>
      <c r="K7" s="20">
        <f>+J7/J10</f>
        <v>0.49007583011512929</v>
      </c>
      <c r="L7" s="73">
        <f t="shared" si="2"/>
        <v>0.21913885501279401</v>
      </c>
      <c r="N7" s="78" t="s">
        <v>65</v>
      </c>
      <c r="O7" s="19">
        <v>100000</v>
      </c>
      <c r="P7" s="20">
        <f t="shared" si="4"/>
        <v>5.2756076345955881E-2</v>
      </c>
      <c r="Q7" s="73">
        <f t="shared" si="5"/>
        <v>3.1682503297950575E-2</v>
      </c>
      <c r="S7" s="18" t="s">
        <v>14</v>
      </c>
      <c r="T7" s="19">
        <f t="shared" ref="T7" si="6">+J7</f>
        <v>674960</v>
      </c>
      <c r="U7" s="20">
        <f>+T7/T11</f>
        <v>0.45462987987798359</v>
      </c>
      <c r="V7" s="73">
        <f t="shared" si="3"/>
        <v>0.21913885501279401</v>
      </c>
    </row>
    <row r="8" spans="1:25" ht="21.75" customHeight="1" thickBot="1">
      <c r="A8" s="10" t="s">
        <v>43</v>
      </c>
      <c r="B8" s="7">
        <v>15</v>
      </c>
      <c r="C8" s="7" t="s">
        <v>33</v>
      </c>
      <c r="D8" s="83">
        <f>+B8*B8*2.5</f>
        <v>562.5</v>
      </c>
      <c r="E8" s="7" t="s">
        <v>34</v>
      </c>
      <c r="F8" s="8">
        <v>50</v>
      </c>
      <c r="G8" s="9">
        <f>+F8*D8</f>
        <v>28125</v>
      </c>
      <c r="I8" s="24" t="s">
        <v>12</v>
      </c>
      <c r="J8" s="25">
        <f>+G7+G8</f>
        <v>67286.25</v>
      </c>
      <c r="K8" s="26">
        <f>J8/$J$10</f>
        <v>4.8855287460122257E-2</v>
      </c>
      <c r="L8" s="17">
        <f t="shared" si="2"/>
        <v>2.1845786095627311E-2</v>
      </c>
      <c r="N8" s="70" t="s">
        <v>66</v>
      </c>
      <c r="O8" s="71">
        <f>G5+G6</f>
        <v>259600</v>
      </c>
      <c r="P8" s="20">
        <f t="shared" si="4"/>
        <v>0.13695477419410149</v>
      </c>
      <c r="Q8" s="73">
        <f t="shared" si="5"/>
        <v>8.2247778561479704E-2</v>
      </c>
      <c r="S8" s="21" t="s">
        <v>48</v>
      </c>
      <c r="T8" s="22">
        <f>+G13+G12</f>
        <v>107380</v>
      </c>
      <c r="U8" s="23">
        <f>T8/T11</f>
        <v>7.2327480889679205E-2</v>
      </c>
      <c r="V8" s="74">
        <f t="shared" si="3"/>
        <v>3.4862999661126319E-2</v>
      </c>
    </row>
    <row r="9" spans="1:25" ht="21.75" customHeight="1" thickBot="1">
      <c r="A9" s="10"/>
      <c r="B9" s="7"/>
      <c r="C9" s="7" t="s">
        <v>13</v>
      </c>
      <c r="D9" s="83">
        <f>D7-(B15*B16)</f>
        <v>645.25</v>
      </c>
      <c r="E9" s="7" t="s">
        <v>18</v>
      </c>
      <c r="F9" s="8">
        <v>40</v>
      </c>
      <c r="G9" s="9">
        <f t="shared" si="1"/>
        <v>25810</v>
      </c>
      <c r="I9" s="24" t="s">
        <v>51</v>
      </c>
      <c r="J9" s="25">
        <f>+G14+G15+G16+G17+G9</f>
        <v>115810</v>
      </c>
      <c r="K9" s="26">
        <f>J9/$J$10</f>
        <v>8.408747464387982E-2</v>
      </c>
      <c r="L9" s="77">
        <f t="shared" si="2"/>
        <v>3.759996266301955E-2</v>
      </c>
      <c r="N9" s="70" t="s">
        <v>67</v>
      </c>
      <c r="O9" s="71">
        <f>+G11</f>
        <v>306800</v>
      </c>
      <c r="P9" s="20">
        <f t="shared" si="4"/>
        <v>0.16185564222939267</v>
      </c>
      <c r="Q9" s="73">
        <f t="shared" si="5"/>
        <v>9.7201920118112378E-2</v>
      </c>
      <c r="S9" s="24" t="s">
        <v>12</v>
      </c>
      <c r="T9" s="25">
        <f>+J8</f>
        <v>67286.25</v>
      </c>
      <c r="U9" s="26">
        <f>T9/$T$11</f>
        <v>4.5321707589990476E-2</v>
      </c>
      <c r="V9" s="17">
        <f t="shared" si="3"/>
        <v>2.1845786095627311E-2</v>
      </c>
    </row>
    <row r="10" spans="1:25" ht="21.75" customHeight="1" thickBot="1">
      <c r="A10" s="10"/>
      <c r="B10" s="7"/>
      <c r="C10" s="7" t="s">
        <v>57</v>
      </c>
      <c r="D10" s="83">
        <f>+D6*2*0.26</f>
        <v>306.8</v>
      </c>
      <c r="E10" s="7" t="s">
        <v>71</v>
      </c>
      <c r="F10" s="8">
        <v>1200</v>
      </c>
      <c r="G10" s="9">
        <f>+F10*D10</f>
        <v>368160</v>
      </c>
      <c r="I10" s="28" t="s">
        <v>36</v>
      </c>
      <c r="J10" s="29">
        <f>+J5+J8+J9</f>
        <v>1377256.25</v>
      </c>
      <c r="K10" s="76">
        <f>J10/$J$10</f>
        <v>1</v>
      </c>
      <c r="L10" s="82">
        <f t="shared" si="2"/>
        <v>0.44715295378128239</v>
      </c>
      <c r="N10" s="79" t="s">
        <v>68</v>
      </c>
      <c r="O10" s="22">
        <f>D10*150</f>
        <v>46020</v>
      </c>
      <c r="P10" s="23">
        <f t="shared" si="4"/>
        <v>2.4278346334408899E-2</v>
      </c>
      <c r="Q10" s="74">
        <f t="shared" si="5"/>
        <v>1.4580288017716856E-2</v>
      </c>
      <c r="S10" s="24" t="s">
        <v>51</v>
      </c>
      <c r="T10" s="25">
        <f>+J9</f>
        <v>115810</v>
      </c>
      <c r="U10" s="26">
        <f>T10/$T$11</f>
        <v>7.8005639428513213E-2</v>
      </c>
      <c r="V10" s="77">
        <f t="shared" si="3"/>
        <v>3.759996266301955E-2</v>
      </c>
    </row>
    <row r="11" spans="1:25" ht="21.75" customHeight="1" thickBot="1">
      <c r="A11" s="10"/>
      <c r="B11" s="7"/>
      <c r="C11" s="7" t="s">
        <v>58</v>
      </c>
      <c r="D11" s="83">
        <f>+D6*2*0.26</f>
        <v>306.8</v>
      </c>
      <c r="E11" s="7" t="s">
        <v>70</v>
      </c>
      <c r="F11" s="8">
        <v>1000</v>
      </c>
      <c r="G11" s="9">
        <f>+F11*D11</f>
        <v>306800</v>
      </c>
      <c r="I11" s="34"/>
      <c r="J11" s="35"/>
      <c r="K11" s="36"/>
      <c r="L11" s="36"/>
      <c r="N11" s="24" t="s">
        <v>12</v>
      </c>
      <c r="O11" s="25">
        <f>+J8</f>
        <v>67286.25</v>
      </c>
      <c r="P11" s="26">
        <f>O11/$O$13</f>
        <v>3.5497585420330741E-2</v>
      </c>
      <c r="Q11" s="17">
        <f t="shared" si="5"/>
        <v>2.131796837531727E-2</v>
      </c>
      <c r="S11" s="28" t="s">
        <v>36</v>
      </c>
      <c r="T11" s="29">
        <f>+T5+T9+T10</f>
        <v>1484636.25</v>
      </c>
      <c r="U11" s="76">
        <f>U5+U9+U10</f>
        <v>1</v>
      </c>
      <c r="V11" s="82">
        <f>+T11/$V$2</f>
        <v>0.54076515162207828</v>
      </c>
    </row>
    <row r="12" spans="1:25" ht="21.75" customHeight="1" thickBot="1">
      <c r="A12" s="10"/>
      <c r="B12" s="7"/>
      <c r="C12" s="7" t="s">
        <v>16</v>
      </c>
      <c r="D12" s="83">
        <f>+D10/2</f>
        <v>153.4</v>
      </c>
      <c r="E12" s="7" t="s">
        <v>55</v>
      </c>
      <c r="F12" s="8">
        <v>350</v>
      </c>
      <c r="G12" s="9">
        <f>$F$12*D10/2</f>
        <v>53690</v>
      </c>
      <c r="I12" s="41" t="s">
        <v>38</v>
      </c>
      <c r="J12" s="42"/>
      <c r="K12" s="42" t="s">
        <v>45</v>
      </c>
      <c r="L12" s="43" t="s">
        <v>41</v>
      </c>
      <c r="N12" s="24" t="s">
        <v>51</v>
      </c>
      <c r="O12" s="25">
        <f>+J9</f>
        <v>115810</v>
      </c>
      <c r="P12" s="26">
        <f>O12/$O$13</f>
        <v>6.1096812016251507E-2</v>
      </c>
      <c r="Q12" s="77">
        <f t="shared" si="5"/>
        <v>3.6691507069356567E-2</v>
      </c>
      <c r="S12" s="34"/>
      <c r="T12" s="35"/>
      <c r="U12" s="36"/>
      <c r="V12" s="36"/>
    </row>
    <row r="13" spans="1:25" ht="21.75" customHeight="1" thickBot="1">
      <c r="A13" s="30"/>
      <c r="B13" s="31"/>
      <c r="C13" s="31" t="s">
        <v>17</v>
      </c>
      <c r="D13" s="84">
        <f>D10/2</f>
        <v>153.4</v>
      </c>
      <c r="E13" s="31" t="s">
        <v>56</v>
      </c>
      <c r="F13" s="32">
        <v>350</v>
      </c>
      <c r="G13" s="33">
        <f>+G12</f>
        <v>53690</v>
      </c>
      <c r="I13" s="44" t="s">
        <v>39</v>
      </c>
      <c r="J13" s="45">
        <f>SUM(J14:J15)</f>
        <v>515200</v>
      </c>
      <c r="K13" s="46">
        <f t="shared" ref="K13:K18" si="7">+J13/$J$18</f>
        <v>0.44846796657381616</v>
      </c>
      <c r="L13" s="47">
        <f t="shared" ref="L13:L17" si="8">+J13/$J$19</f>
        <v>0.2039542864494803</v>
      </c>
      <c r="N13" s="28" t="s">
        <v>36</v>
      </c>
      <c r="O13" s="29">
        <f>+O5+O11+O12</f>
        <v>1895516.25</v>
      </c>
      <c r="P13" s="76">
        <f>P5+P11+P12</f>
        <v>1</v>
      </c>
      <c r="Q13" s="82">
        <f>+O13/Q2</f>
        <v>0.60054699841943915</v>
      </c>
      <c r="S13" s="41" t="s">
        <v>38</v>
      </c>
      <c r="T13" s="42"/>
      <c r="U13" s="42" t="s">
        <v>45</v>
      </c>
      <c r="V13" s="43" t="s">
        <v>41</v>
      </c>
    </row>
    <row r="14" spans="1:25" ht="21.75" customHeight="1" thickBot="1">
      <c r="A14" s="37" t="s">
        <v>30</v>
      </c>
      <c r="B14" s="38"/>
      <c r="C14" s="38" t="s">
        <v>8</v>
      </c>
      <c r="D14" s="85">
        <f>$B$15*$B$17</f>
        <v>112.5</v>
      </c>
      <c r="E14" s="38" t="s">
        <v>29</v>
      </c>
      <c r="F14" s="39">
        <v>200</v>
      </c>
      <c r="G14" s="40">
        <f>F14*D14</f>
        <v>22500</v>
      </c>
      <c r="I14" s="48" t="s">
        <v>47</v>
      </c>
      <c r="J14" s="49">
        <f>+G21+G22+G23+G24</f>
        <v>140800</v>
      </c>
      <c r="K14" s="50">
        <f t="shared" si="7"/>
        <v>0.12256267409470752</v>
      </c>
      <c r="L14" s="51">
        <f t="shared" si="8"/>
        <v>5.5739059650789645E-2</v>
      </c>
      <c r="N14" s="34"/>
      <c r="O14" s="35"/>
      <c r="P14" s="36"/>
      <c r="Q14" s="36"/>
      <c r="S14" s="44" t="s">
        <v>39</v>
      </c>
      <c r="T14" s="45">
        <f>SUM(T15:T17)</f>
        <v>627200</v>
      </c>
      <c r="U14" s="46">
        <f>+T14/$T$20</f>
        <v>0.49746192893401014</v>
      </c>
      <c r="V14" s="47">
        <f t="shared" ref="V14:V19" si="9">+T14/$J$19</f>
        <v>0.24829217480806295</v>
      </c>
    </row>
    <row r="15" spans="1:25" ht="21.75" customHeight="1" thickBot="1">
      <c r="A15" s="10" t="s">
        <v>2</v>
      </c>
      <c r="B15" s="7">
        <v>15</v>
      </c>
      <c r="C15" s="7" t="s">
        <v>9</v>
      </c>
      <c r="D15" s="83">
        <f>$B$15*$B$17</f>
        <v>112.5</v>
      </c>
      <c r="E15" s="7" t="s">
        <v>29</v>
      </c>
      <c r="F15" s="8">
        <v>200</v>
      </c>
      <c r="G15" s="9">
        <f t="shared" ref="G15:G17" si="10">F15*D15</f>
        <v>22500</v>
      </c>
      <c r="I15" s="48" t="s">
        <v>14</v>
      </c>
      <c r="J15" s="49">
        <f>+G27+G28</f>
        <v>374400</v>
      </c>
      <c r="K15" s="50">
        <f t="shared" si="7"/>
        <v>0.32590529247910865</v>
      </c>
      <c r="L15" s="51">
        <f t="shared" si="8"/>
        <v>0.14821522679869065</v>
      </c>
      <c r="N15" s="41" t="s">
        <v>38</v>
      </c>
      <c r="O15" s="12"/>
      <c r="P15" s="42" t="s">
        <v>45</v>
      </c>
      <c r="Q15" s="13" t="s">
        <v>41</v>
      </c>
      <c r="S15" s="48" t="s">
        <v>47</v>
      </c>
      <c r="T15" s="49">
        <f>+J14</f>
        <v>140800</v>
      </c>
      <c r="U15" s="50">
        <f t="shared" ref="U15:U19" si="11">+T15/$T$20</f>
        <v>0.1116751269035533</v>
      </c>
      <c r="V15" s="51">
        <f t="shared" si="9"/>
        <v>5.5739059650789645E-2</v>
      </c>
    </row>
    <row r="16" spans="1:25" ht="21.75" customHeight="1" thickBot="1">
      <c r="A16" s="10" t="s">
        <v>3</v>
      </c>
      <c r="B16" s="7">
        <v>15</v>
      </c>
      <c r="C16" s="7" t="s">
        <v>10</v>
      </c>
      <c r="D16" s="83">
        <f>$B$15*$B$17</f>
        <v>112.5</v>
      </c>
      <c r="E16" s="7" t="s">
        <v>29</v>
      </c>
      <c r="F16" s="8">
        <v>200</v>
      </c>
      <c r="G16" s="9">
        <f t="shared" si="10"/>
        <v>22500</v>
      </c>
      <c r="I16" s="24" t="s">
        <v>12</v>
      </c>
      <c r="J16" s="25">
        <f>+G25</f>
        <v>576000</v>
      </c>
      <c r="K16" s="26">
        <f t="shared" si="7"/>
        <v>0.50139275766016711</v>
      </c>
      <c r="L16" s="27">
        <f t="shared" si="8"/>
        <v>0.22802342584413945</v>
      </c>
      <c r="N16" s="44" t="s">
        <v>39</v>
      </c>
      <c r="O16" s="45">
        <f>+SUM(O17:O19)</f>
        <v>627200</v>
      </c>
      <c r="P16" s="46">
        <f>+O16/$O$22</f>
        <v>0.49746192893401014</v>
      </c>
      <c r="Q16" s="17">
        <f>+O16/$Q$2</f>
        <v>0.19871266068474602</v>
      </c>
      <c r="S16" s="48" t="s">
        <v>14</v>
      </c>
      <c r="T16" s="49">
        <f>+J15</f>
        <v>374400</v>
      </c>
      <c r="U16" s="50">
        <f t="shared" si="11"/>
        <v>0.29695431472081218</v>
      </c>
      <c r="V16" s="51">
        <f t="shared" si="9"/>
        <v>0.14821522679869065</v>
      </c>
    </row>
    <row r="17" spans="1:22" ht="21.75" customHeight="1" thickBot="1">
      <c r="A17" s="52" t="s">
        <v>4</v>
      </c>
      <c r="B17" s="53">
        <v>7.5</v>
      </c>
      <c r="C17" s="53" t="s">
        <v>11</v>
      </c>
      <c r="D17" s="86">
        <f>$B$15*$B$17</f>
        <v>112.5</v>
      </c>
      <c r="E17" s="53" t="s">
        <v>29</v>
      </c>
      <c r="F17" s="54">
        <v>200</v>
      </c>
      <c r="G17" s="55">
        <f t="shared" si="10"/>
        <v>22500</v>
      </c>
      <c r="I17" s="24" t="s">
        <v>51</v>
      </c>
      <c r="J17" s="25">
        <f>G32+G33+G34+G35+G36</f>
        <v>57600</v>
      </c>
      <c r="K17" s="26">
        <f t="shared" si="7"/>
        <v>5.0139275766016712E-2</v>
      </c>
      <c r="L17" s="27">
        <f t="shared" si="8"/>
        <v>2.2802342584413944E-2</v>
      </c>
      <c r="N17" s="48" t="s">
        <v>47</v>
      </c>
      <c r="O17" s="49">
        <f t="shared" ref="O17:O18" si="12">+J14</f>
        <v>140800</v>
      </c>
      <c r="P17" s="50">
        <f t="shared" ref="P17:P21" si="13">+O17/$O$22</f>
        <v>0.1116751269035533</v>
      </c>
      <c r="Q17" s="75">
        <f t="shared" ref="Q17:Q21" si="14">+O17/$Q$2</f>
        <v>4.4608964643514416E-2</v>
      </c>
      <c r="S17" s="57" t="s">
        <v>48</v>
      </c>
      <c r="T17" s="58">
        <f>+G29+G30</f>
        <v>112000</v>
      </c>
      <c r="U17" s="50">
        <f t="shared" si="11"/>
        <v>8.8832487309644673E-2</v>
      </c>
      <c r="V17" s="51">
        <f t="shared" si="9"/>
        <v>4.4337888358582669E-2</v>
      </c>
    </row>
    <row r="18" spans="1:22" ht="21.75" customHeight="1" thickBot="1">
      <c r="F18" s="67" t="s">
        <v>52</v>
      </c>
      <c r="G18" s="66">
        <f>SUM(G3:G17)</f>
        <v>1484636.25</v>
      </c>
      <c r="I18" s="59" t="s">
        <v>40</v>
      </c>
      <c r="J18" s="60">
        <f>J13+J16+J17</f>
        <v>1148800</v>
      </c>
      <c r="K18" s="61">
        <f t="shared" si="7"/>
        <v>1</v>
      </c>
      <c r="L18" s="62">
        <f>+J18/$L$2</f>
        <v>0.37298020125444137</v>
      </c>
      <c r="N18" s="48" t="s">
        <v>14</v>
      </c>
      <c r="O18" s="49">
        <f t="shared" si="12"/>
        <v>374400</v>
      </c>
      <c r="P18" s="50">
        <f t="shared" si="13"/>
        <v>0.29695431472081218</v>
      </c>
      <c r="Q18" s="73">
        <f t="shared" si="14"/>
        <v>0.11861929234752697</v>
      </c>
      <c r="S18" s="24" t="s">
        <v>12</v>
      </c>
      <c r="T18" s="25">
        <f>+J16</f>
        <v>576000</v>
      </c>
      <c r="U18" s="26">
        <f t="shared" si="11"/>
        <v>0.45685279187817257</v>
      </c>
      <c r="V18" s="27">
        <f t="shared" si="9"/>
        <v>0.22802342584413945</v>
      </c>
    </row>
    <row r="19" spans="1:22" ht="22.5" customHeight="1" thickBot="1">
      <c r="G19" s="56"/>
      <c r="I19" s="63"/>
      <c r="J19" s="64">
        <f>J10+J18</f>
        <v>2526056.25</v>
      </c>
      <c r="K19" s="34"/>
      <c r="L19" s="34"/>
      <c r="N19" s="79" t="s">
        <v>48</v>
      </c>
      <c r="O19" s="58">
        <f>G30+G29</f>
        <v>112000</v>
      </c>
      <c r="P19" s="50">
        <f t="shared" si="13"/>
        <v>8.8832487309644673E-2</v>
      </c>
      <c r="Q19" s="74">
        <f t="shared" si="14"/>
        <v>3.5484403693704647E-2</v>
      </c>
      <c r="S19" s="24" t="s">
        <v>51</v>
      </c>
      <c r="T19" s="25">
        <f>+J17</f>
        <v>57600</v>
      </c>
      <c r="U19" s="26">
        <f t="shared" si="11"/>
        <v>4.5685279187817257E-2</v>
      </c>
      <c r="V19" s="27">
        <f t="shared" si="9"/>
        <v>2.2802342584413944E-2</v>
      </c>
    </row>
    <row r="20" spans="1:22" ht="36" customHeight="1" thickBot="1">
      <c r="A20" s="110" t="s">
        <v>87</v>
      </c>
      <c r="B20" s="12" t="s">
        <v>5</v>
      </c>
      <c r="C20" s="12" t="s">
        <v>42</v>
      </c>
      <c r="D20" s="12" t="s">
        <v>15</v>
      </c>
      <c r="E20" s="12" t="s">
        <v>88</v>
      </c>
      <c r="F20" s="12" t="s">
        <v>20</v>
      </c>
      <c r="G20" s="13" t="s">
        <v>19</v>
      </c>
      <c r="I20" s="41" t="s">
        <v>48</v>
      </c>
      <c r="J20" s="80">
        <v>554000</v>
      </c>
      <c r="K20" s="81">
        <f>+J20/J20</f>
        <v>1</v>
      </c>
      <c r="L20" s="82">
        <f>+J20/$L$2</f>
        <v>0.17986684496427621</v>
      </c>
      <c r="N20" s="24" t="s">
        <v>12</v>
      </c>
      <c r="O20" s="45">
        <f>+J16</f>
        <v>576000</v>
      </c>
      <c r="P20" s="26">
        <f t="shared" si="13"/>
        <v>0.45685279187817257</v>
      </c>
      <c r="Q20" s="47">
        <f t="shared" si="14"/>
        <v>0.18249121899619533</v>
      </c>
      <c r="S20" s="95" t="s">
        <v>40</v>
      </c>
      <c r="T20" s="96">
        <f>T14+T18+T19</f>
        <v>1260800</v>
      </c>
      <c r="U20" s="97">
        <f>U14+U18+U19</f>
        <v>1</v>
      </c>
      <c r="V20" s="98">
        <f>+T20/$V$2</f>
        <v>0.45923484837792172</v>
      </c>
    </row>
    <row r="21" spans="1:22" ht="21.75" customHeight="1" thickBot="1">
      <c r="A21" s="37" t="s">
        <v>1</v>
      </c>
      <c r="B21" s="38" t="s">
        <v>5</v>
      </c>
      <c r="C21" s="38" t="s">
        <v>8</v>
      </c>
      <c r="D21" s="38">
        <f>B22*B24</f>
        <v>176</v>
      </c>
      <c r="E21" s="38" t="s">
        <v>28</v>
      </c>
      <c r="F21" s="39">
        <v>220</v>
      </c>
      <c r="G21" s="40">
        <f>+F21*D21</f>
        <v>38720</v>
      </c>
      <c r="J21" s="72"/>
      <c r="N21" s="24" t="s">
        <v>51</v>
      </c>
      <c r="O21" s="25">
        <f>+J17</f>
        <v>57600</v>
      </c>
      <c r="P21" s="26">
        <f t="shared" si="13"/>
        <v>4.5685279187817257E-2</v>
      </c>
      <c r="Q21" s="77">
        <f t="shared" si="14"/>
        <v>1.8249121899619532E-2</v>
      </c>
      <c r="S21" s="63"/>
      <c r="T21" s="64">
        <f>T11+T20</f>
        <v>2745436.25</v>
      </c>
      <c r="U21" s="34"/>
      <c r="V21" s="34"/>
    </row>
    <row r="22" spans="1:22" ht="39.75" customHeight="1" thickBot="1">
      <c r="A22" s="10" t="s">
        <v>2</v>
      </c>
      <c r="B22" s="7">
        <v>44</v>
      </c>
      <c r="C22" s="7" t="s">
        <v>9</v>
      </c>
      <c r="D22" s="7">
        <f>B23*B24</f>
        <v>144</v>
      </c>
      <c r="E22" s="7" t="s">
        <v>28</v>
      </c>
      <c r="F22" s="8">
        <v>220</v>
      </c>
      <c r="G22" s="9">
        <f t="shared" ref="G22:G24" si="15">+F22*D22</f>
        <v>31680</v>
      </c>
      <c r="J22" s="134" t="s">
        <v>62</v>
      </c>
      <c r="K22" s="135"/>
      <c r="L22" s="136"/>
      <c r="N22" s="28" t="s">
        <v>40</v>
      </c>
      <c r="O22" s="92">
        <f>O16+O20+O21</f>
        <v>1260800</v>
      </c>
      <c r="P22" s="93">
        <f>P16+P20+P21</f>
        <v>1</v>
      </c>
      <c r="Q22" s="94">
        <f>+O22/Q2</f>
        <v>0.39945300158056091</v>
      </c>
      <c r="T22" s="134" t="s">
        <v>62</v>
      </c>
      <c r="U22" s="135"/>
      <c r="V22" s="136"/>
    </row>
    <row r="23" spans="1:22" ht="21.75" customHeight="1" thickBot="1">
      <c r="A23" s="10" t="s">
        <v>3</v>
      </c>
      <c r="B23" s="7">
        <v>36</v>
      </c>
      <c r="C23" s="7" t="s">
        <v>10</v>
      </c>
      <c r="D23" s="7">
        <f>B24*B23</f>
        <v>144</v>
      </c>
      <c r="E23" s="7" t="s">
        <v>28</v>
      </c>
      <c r="F23" s="8">
        <v>220</v>
      </c>
      <c r="G23" s="9">
        <f t="shared" si="15"/>
        <v>31680</v>
      </c>
      <c r="J23" s="132" t="s">
        <v>63</v>
      </c>
      <c r="K23" s="133"/>
      <c r="L23" s="87">
        <f>+L24+L25</f>
        <v>3124000</v>
      </c>
      <c r="O23" s="72"/>
      <c r="T23" s="137" t="s">
        <v>63</v>
      </c>
      <c r="U23" s="138"/>
      <c r="V23" s="87">
        <f>+V24+V25</f>
        <v>3124000</v>
      </c>
    </row>
    <row r="24" spans="1:22" ht="34.799999999999997">
      <c r="A24" s="10" t="s">
        <v>4</v>
      </c>
      <c r="B24" s="7">
        <v>4</v>
      </c>
      <c r="C24" s="7" t="s">
        <v>11</v>
      </c>
      <c r="D24" s="7">
        <f>B22*B24</f>
        <v>176</v>
      </c>
      <c r="E24" s="7" t="s">
        <v>28</v>
      </c>
      <c r="F24" s="8">
        <v>220</v>
      </c>
      <c r="G24" s="9">
        <f t="shared" si="15"/>
        <v>38720</v>
      </c>
      <c r="J24" s="132" t="s">
        <v>64</v>
      </c>
      <c r="K24" s="133"/>
      <c r="L24" s="88">
        <v>2570000</v>
      </c>
      <c r="O24" s="134" t="s">
        <v>62</v>
      </c>
      <c r="P24" s="135"/>
      <c r="Q24" s="136"/>
      <c r="T24" s="132" t="s">
        <v>64</v>
      </c>
      <c r="U24" s="133"/>
      <c r="V24" s="88">
        <v>2570000</v>
      </c>
    </row>
    <row r="25" spans="1:22" ht="21.6" thickBot="1">
      <c r="A25" s="10" t="s">
        <v>23</v>
      </c>
      <c r="B25" s="7">
        <v>12</v>
      </c>
      <c r="C25" s="7" t="s">
        <v>12</v>
      </c>
      <c r="D25" s="7">
        <f>B22*B23-D26</f>
        <v>1440</v>
      </c>
      <c r="E25" s="7" t="s">
        <v>27</v>
      </c>
      <c r="F25" s="8">
        <v>400</v>
      </c>
      <c r="G25" s="9">
        <f>+F25*D25</f>
        <v>576000</v>
      </c>
      <c r="J25" s="127" t="s">
        <v>48</v>
      </c>
      <c r="K25" s="128"/>
      <c r="L25" s="89">
        <v>554000</v>
      </c>
      <c r="O25" s="137" t="s">
        <v>63</v>
      </c>
      <c r="P25" s="138"/>
      <c r="Q25" s="87">
        <f>+Q26+Q27</f>
        <v>3124000</v>
      </c>
      <c r="T25" s="127" t="s">
        <v>48</v>
      </c>
      <c r="U25" s="128"/>
      <c r="V25" s="89">
        <v>554000</v>
      </c>
    </row>
    <row r="26" spans="1:22" ht="21" thickBot="1">
      <c r="A26" s="10" t="s">
        <v>24</v>
      </c>
      <c r="B26" s="7">
        <v>12</v>
      </c>
      <c r="C26" s="7" t="s">
        <v>22</v>
      </c>
      <c r="D26" s="7">
        <f>B26*B25</f>
        <v>144</v>
      </c>
      <c r="E26" s="7"/>
      <c r="F26" s="8"/>
      <c r="G26" s="9"/>
      <c r="O26" s="132" t="s">
        <v>64</v>
      </c>
      <c r="P26" s="133"/>
      <c r="Q26" s="88">
        <v>2570000</v>
      </c>
    </row>
    <row r="27" spans="1:22" ht="58.5" customHeight="1" thickBot="1">
      <c r="A27" s="10"/>
      <c r="B27" s="7"/>
      <c r="C27" s="7" t="s">
        <v>25</v>
      </c>
      <c r="D27" s="7">
        <f>SUM(D21:D24)/2</f>
        <v>320</v>
      </c>
      <c r="E27" s="7" t="s">
        <v>59</v>
      </c>
      <c r="F27" s="8">
        <v>900</v>
      </c>
      <c r="G27" s="9">
        <f>+F27*D27</f>
        <v>288000</v>
      </c>
      <c r="O27" s="127" t="s">
        <v>48</v>
      </c>
      <c r="P27" s="128"/>
      <c r="Q27" s="89">
        <v>554000</v>
      </c>
      <c r="T27" s="120" t="s">
        <v>95</v>
      </c>
      <c r="U27" s="121"/>
      <c r="V27" s="122"/>
    </row>
    <row r="28" spans="1:22" ht="34.5" customHeight="1" thickBot="1">
      <c r="A28" s="10"/>
      <c r="B28" s="7"/>
      <c r="C28" s="7" t="s">
        <v>26</v>
      </c>
      <c r="D28" s="7">
        <f>+B26*2*4</f>
        <v>96</v>
      </c>
      <c r="E28" s="7" t="s">
        <v>59</v>
      </c>
      <c r="F28" s="8">
        <v>900</v>
      </c>
      <c r="G28" s="9">
        <f>+F28*D28</f>
        <v>86400</v>
      </c>
      <c r="I28" s="100"/>
      <c r="T28" s="123" t="s">
        <v>94</v>
      </c>
      <c r="U28" s="124"/>
      <c r="V28" s="106">
        <f>+V2</f>
        <v>2745436.25</v>
      </c>
    </row>
    <row r="29" spans="1:22" ht="49.5" customHeight="1" thickBot="1">
      <c r="A29" s="10"/>
      <c r="B29" s="7"/>
      <c r="C29" s="7" t="s">
        <v>17</v>
      </c>
      <c r="D29" s="7">
        <f>+D27/2</f>
        <v>160</v>
      </c>
      <c r="E29" s="7" t="s">
        <v>21</v>
      </c>
      <c r="F29" s="8">
        <v>350</v>
      </c>
      <c r="G29" s="9">
        <f>+F29*D29</f>
        <v>56000</v>
      </c>
      <c r="I29" s="100"/>
      <c r="O29" s="139" t="s">
        <v>84</v>
      </c>
      <c r="P29" s="140"/>
      <c r="Q29" s="102" t="s">
        <v>74</v>
      </c>
      <c r="T29" s="125" t="s">
        <v>76</v>
      </c>
      <c r="U29" s="126"/>
      <c r="V29" s="107"/>
    </row>
    <row r="30" spans="1:22" ht="34.5" customHeight="1" thickBot="1">
      <c r="A30" s="30"/>
      <c r="B30" s="31"/>
      <c r="C30" s="31" t="s">
        <v>16</v>
      </c>
      <c r="D30" s="31">
        <f>+D29</f>
        <v>160</v>
      </c>
      <c r="E30" s="31" t="s">
        <v>21</v>
      </c>
      <c r="F30" s="32">
        <v>350</v>
      </c>
      <c r="G30" s="33">
        <f t="shared" ref="G30" si="16">+F30*D30</f>
        <v>56000</v>
      </c>
      <c r="I30" s="100"/>
      <c r="O30" s="141" t="s">
        <v>72</v>
      </c>
      <c r="P30" s="142"/>
      <c r="Q30" s="103">
        <v>85</v>
      </c>
      <c r="T30" s="125" t="s">
        <v>77</v>
      </c>
      <c r="U30" s="126"/>
      <c r="V30" s="107">
        <v>96000</v>
      </c>
    </row>
    <row r="31" spans="1:22" ht="34.5" customHeight="1" thickBot="1">
      <c r="A31" s="37" t="s">
        <v>6</v>
      </c>
      <c r="B31" s="38"/>
      <c r="C31" s="38"/>
      <c r="D31" s="38"/>
      <c r="E31" s="38"/>
      <c r="F31" s="38"/>
      <c r="G31" s="40"/>
      <c r="O31" s="143" t="s">
        <v>73</v>
      </c>
      <c r="P31" s="144"/>
      <c r="Q31" s="101">
        <v>25</v>
      </c>
      <c r="T31" s="125" t="s">
        <v>78</v>
      </c>
      <c r="U31" s="126"/>
      <c r="V31" s="107">
        <v>1399000</v>
      </c>
    </row>
    <row r="32" spans="1:22" ht="34.5" customHeight="1" thickBot="1">
      <c r="A32" s="10" t="s">
        <v>2</v>
      </c>
      <c r="B32" s="7">
        <v>44</v>
      </c>
      <c r="C32" s="7" t="s">
        <v>8</v>
      </c>
      <c r="D32" s="7">
        <f>B32*B35</f>
        <v>66</v>
      </c>
      <c r="E32" s="7" t="s">
        <v>29</v>
      </c>
      <c r="F32" s="8">
        <v>200</v>
      </c>
      <c r="G32" s="9">
        <f>+F32*D32</f>
        <v>13200</v>
      </c>
      <c r="T32" s="114" t="s">
        <v>79</v>
      </c>
      <c r="U32" s="115"/>
      <c r="V32" s="104">
        <f>SUM(V28:V31)</f>
        <v>4240436.25</v>
      </c>
    </row>
    <row r="33" spans="1:22" ht="34.5" customHeight="1" thickBot="1">
      <c r="A33" s="10" t="s">
        <v>3</v>
      </c>
      <c r="B33" s="7">
        <v>36</v>
      </c>
      <c r="C33" s="7" t="s">
        <v>9</v>
      </c>
      <c r="D33" s="7">
        <f>B33*B35</f>
        <v>54</v>
      </c>
      <c r="E33" s="7" t="s">
        <v>29</v>
      </c>
      <c r="F33" s="8">
        <v>200</v>
      </c>
      <c r="G33" s="9">
        <f t="shared" ref="G33:G35" si="17">+F33*D33</f>
        <v>10800</v>
      </c>
      <c r="O33" s="145" t="s">
        <v>75</v>
      </c>
      <c r="P33" s="146"/>
      <c r="Q33" s="102">
        <f>+(Q30+Q31)*1000*0.18</f>
        <v>19800</v>
      </c>
      <c r="T33" s="116" t="s">
        <v>80</v>
      </c>
      <c r="U33" s="117"/>
      <c r="V33" s="105">
        <v>163000</v>
      </c>
    </row>
    <row r="34" spans="1:22" ht="34.5" customHeight="1" thickBot="1">
      <c r="A34" s="10" t="s">
        <v>7</v>
      </c>
      <c r="B34" s="7">
        <v>1.5</v>
      </c>
      <c r="C34" s="7" t="s">
        <v>10</v>
      </c>
      <c r="D34" s="7">
        <f>B32*B34</f>
        <v>66</v>
      </c>
      <c r="E34" s="7" t="s">
        <v>29</v>
      </c>
      <c r="F34" s="8">
        <v>200</v>
      </c>
      <c r="G34" s="9">
        <f t="shared" si="17"/>
        <v>13200</v>
      </c>
      <c r="T34" s="118" t="s">
        <v>81</v>
      </c>
      <c r="U34" s="119"/>
      <c r="V34" s="108">
        <f>V32/V33</f>
        <v>26.014946319018406</v>
      </c>
    </row>
    <row r="35" spans="1:22" ht="40.5" customHeight="1" thickBot="1">
      <c r="A35" s="10" t="s">
        <v>4</v>
      </c>
      <c r="B35" s="7">
        <v>1.5</v>
      </c>
      <c r="C35" s="7" t="s">
        <v>11</v>
      </c>
      <c r="D35" s="7">
        <f>B33*B35</f>
        <v>54</v>
      </c>
      <c r="E35" s="7" t="s">
        <v>29</v>
      </c>
      <c r="F35" s="8">
        <v>200</v>
      </c>
      <c r="G35" s="9">
        <f t="shared" si="17"/>
        <v>10800</v>
      </c>
      <c r="O35" s="120" t="s">
        <v>83</v>
      </c>
      <c r="P35" s="121"/>
      <c r="Q35" s="122"/>
    </row>
    <row r="36" spans="1:22" ht="51.75" customHeight="1" thickBot="1">
      <c r="A36" s="52"/>
      <c r="B36" s="53"/>
      <c r="C36" s="53" t="s">
        <v>13</v>
      </c>
      <c r="D36" s="53">
        <f>(B32+B33)*2*B34</f>
        <v>240</v>
      </c>
      <c r="E36" s="53" t="s">
        <v>18</v>
      </c>
      <c r="F36" s="54">
        <v>40</v>
      </c>
      <c r="G36" s="55">
        <f t="shared" ref="G36" si="18">+F36*D36</f>
        <v>9600</v>
      </c>
      <c r="O36" s="123" t="s">
        <v>82</v>
      </c>
      <c r="P36" s="124"/>
      <c r="Q36" s="106">
        <f>+Q2</f>
        <v>3156316.25</v>
      </c>
      <c r="T36" s="120" t="s">
        <v>96</v>
      </c>
      <c r="U36" s="121"/>
      <c r="V36" s="122"/>
    </row>
    <row r="37" spans="1:22" ht="36.75" customHeight="1" thickBot="1">
      <c r="F37" s="67" t="s">
        <v>53</v>
      </c>
      <c r="G37" s="66">
        <f>SUM(G21:G36)</f>
        <v>1260800</v>
      </c>
      <c r="O37" s="125" t="s">
        <v>76</v>
      </c>
      <c r="P37" s="126"/>
      <c r="Q37" s="107"/>
      <c r="T37" s="123" t="s">
        <v>93</v>
      </c>
      <c r="U37" s="124"/>
      <c r="V37" s="106">
        <f>+V28</f>
        <v>2745436.25</v>
      </c>
    </row>
    <row r="38" spans="1:22" ht="36.75" customHeight="1" thickBot="1">
      <c r="G38" s="56"/>
      <c r="O38" s="125" t="s">
        <v>77</v>
      </c>
      <c r="P38" s="126"/>
      <c r="Q38" s="107">
        <v>96000</v>
      </c>
      <c r="T38" s="125" t="s">
        <v>76</v>
      </c>
      <c r="U38" s="126"/>
      <c r="V38" s="107"/>
    </row>
    <row r="39" spans="1:22" ht="52.5" customHeight="1" thickBot="1">
      <c r="E39" s="147" t="s">
        <v>31</v>
      </c>
      <c r="F39" s="148"/>
      <c r="G39" s="112">
        <f>G18+G37</f>
        <v>2745436.25</v>
      </c>
      <c r="O39" s="125" t="s">
        <v>78</v>
      </c>
      <c r="P39" s="126"/>
      <c r="Q39" s="107">
        <f>1399000</f>
        <v>1399000</v>
      </c>
      <c r="T39" s="125" t="s">
        <v>77</v>
      </c>
      <c r="U39" s="126"/>
      <c r="V39" s="107">
        <v>96000</v>
      </c>
    </row>
    <row r="40" spans="1:22" ht="9" customHeight="1" thickBot="1">
      <c r="A40" s="113"/>
      <c r="B40" s="113"/>
      <c r="C40" s="113"/>
      <c r="D40" s="113"/>
      <c r="E40" s="113"/>
      <c r="F40" s="113"/>
      <c r="G40" s="113"/>
      <c r="O40" s="114" t="s">
        <v>79</v>
      </c>
      <c r="P40" s="115"/>
      <c r="Q40" s="104">
        <f>SUM(Q36:Q39)</f>
        <v>4651316.25</v>
      </c>
      <c r="T40" s="125" t="s">
        <v>85</v>
      </c>
      <c r="U40" s="126"/>
      <c r="V40" s="107">
        <f>V31+100000</f>
        <v>1499000</v>
      </c>
    </row>
    <row r="41" spans="1:22" ht="69" customHeight="1" thickBot="1">
      <c r="A41" s="149" t="s">
        <v>97</v>
      </c>
      <c r="B41" s="149"/>
      <c r="C41" s="149"/>
      <c r="D41" s="149"/>
      <c r="E41" s="149"/>
      <c r="F41" s="149"/>
      <c r="G41" s="149"/>
      <c r="O41" s="116" t="s">
        <v>80</v>
      </c>
      <c r="P41" s="117"/>
      <c r="Q41" s="105">
        <f>163000+Q33</f>
        <v>182800</v>
      </c>
      <c r="T41" s="114" t="s">
        <v>79</v>
      </c>
      <c r="U41" s="115"/>
      <c r="V41" s="104">
        <f>SUM(V37:V40)</f>
        <v>4340436.25</v>
      </c>
    </row>
    <row r="42" spans="1:22" ht="36.75" customHeight="1" thickBot="1">
      <c r="A42" s="111"/>
      <c r="B42" s="111"/>
      <c r="C42" s="111"/>
      <c r="D42" s="111"/>
      <c r="E42" s="111"/>
      <c r="F42" s="111"/>
      <c r="G42" s="111"/>
      <c r="O42" s="118" t="s">
        <v>81</v>
      </c>
      <c r="P42" s="119"/>
      <c r="Q42" s="108">
        <f>Q40/Q41</f>
        <v>25.44483725382932</v>
      </c>
      <c r="T42" s="116" t="s">
        <v>80</v>
      </c>
      <c r="U42" s="117"/>
      <c r="V42" s="105">
        <f>+V33+3600</f>
        <v>166600</v>
      </c>
    </row>
    <row r="43" spans="1:22" ht="36.75" customHeight="1" thickBot="1">
      <c r="A43" s="111"/>
      <c r="B43" s="111"/>
      <c r="C43" s="111"/>
      <c r="D43" s="111"/>
      <c r="E43" s="111"/>
      <c r="F43" s="111"/>
      <c r="G43" s="111"/>
      <c r="T43" s="118" t="s">
        <v>81</v>
      </c>
      <c r="U43" s="119"/>
      <c r="V43" s="108">
        <f>V41/V42</f>
        <v>26.053038715486196</v>
      </c>
    </row>
    <row r="44" spans="1:22" ht="60" customHeight="1" thickBot="1">
      <c r="A44" s="111"/>
      <c r="B44" s="111"/>
      <c r="C44" s="111"/>
      <c r="D44" s="111"/>
      <c r="E44" s="111"/>
      <c r="F44" s="111"/>
      <c r="G44" s="111"/>
      <c r="O44" s="120" t="s">
        <v>86</v>
      </c>
      <c r="P44" s="121"/>
      <c r="Q44" s="122"/>
    </row>
    <row r="45" spans="1:22" ht="30" customHeight="1">
      <c r="A45" s="111"/>
      <c r="B45" s="111"/>
      <c r="C45" s="111"/>
      <c r="D45" s="111"/>
      <c r="E45" s="111"/>
      <c r="F45" s="111"/>
      <c r="G45" s="111"/>
      <c r="O45" s="123" t="s">
        <v>82</v>
      </c>
      <c r="P45" s="124"/>
      <c r="Q45" s="106">
        <f>+Q36</f>
        <v>3156316.25</v>
      </c>
    </row>
    <row r="46" spans="1:22" ht="30" customHeight="1">
      <c r="O46" s="125" t="s">
        <v>76</v>
      </c>
      <c r="P46" s="126"/>
      <c r="Q46" s="107"/>
    </row>
    <row r="47" spans="1:22" ht="30" customHeight="1">
      <c r="O47" s="125" t="s">
        <v>77</v>
      </c>
      <c r="P47" s="126"/>
      <c r="Q47" s="107">
        <v>96000</v>
      </c>
    </row>
    <row r="48" spans="1:22" ht="30" customHeight="1">
      <c r="O48" s="125" t="s">
        <v>85</v>
      </c>
      <c r="P48" s="126"/>
      <c r="Q48" s="107">
        <f>1399000+100000</f>
        <v>1499000</v>
      </c>
    </row>
    <row r="49" spans="15:17" ht="30" customHeight="1">
      <c r="O49" s="114" t="s">
        <v>79</v>
      </c>
      <c r="P49" s="115"/>
      <c r="Q49" s="104">
        <f>SUM(Q45:Q48)</f>
        <v>4751316.25</v>
      </c>
    </row>
    <row r="50" spans="15:17" ht="30" customHeight="1">
      <c r="O50" s="116" t="s">
        <v>80</v>
      </c>
      <c r="P50" s="117"/>
      <c r="Q50" s="105">
        <f>+Q41+3600</f>
        <v>186400</v>
      </c>
    </row>
    <row r="51" spans="15:17" ht="30" customHeight="1" thickBot="1">
      <c r="O51" s="118" t="s">
        <v>81</v>
      </c>
      <c r="P51" s="119"/>
      <c r="Q51" s="108">
        <f>Q49/Q50</f>
        <v>25.489894045064379</v>
      </c>
    </row>
  </sheetData>
  <mergeCells count="57">
    <mergeCell ref="E39:F39"/>
    <mergeCell ref="A41:G41"/>
    <mergeCell ref="O47:P47"/>
    <mergeCell ref="O48:P48"/>
    <mergeCell ref="O49:P49"/>
    <mergeCell ref="O42:P42"/>
    <mergeCell ref="O50:P50"/>
    <mergeCell ref="O51:P51"/>
    <mergeCell ref="O44:Q44"/>
    <mergeCell ref="O45:P45"/>
    <mergeCell ref="O46:P46"/>
    <mergeCell ref="T28:U28"/>
    <mergeCell ref="O39:P39"/>
    <mergeCell ref="O40:P40"/>
    <mergeCell ref="O41:P41"/>
    <mergeCell ref="O29:P29"/>
    <mergeCell ref="O30:P30"/>
    <mergeCell ref="O31:P31"/>
    <mergeCell ref="T34:U34"/>
    <mergeCell ref="T29:U29"/>
    <mergeCell ref="T30:U30"/>
    <mergeCell ref="T31:U31"/>
    <mergeCell ref="T32:U32"/>
    <mergeCell ref="T33:U33"/>
    <mergeCell ref="O33:P33"/>
    <mergeCell ref="O35:Q35"/>
    <mergeCell ref="O36:P36"/>
    <mergeCell ref="O37:P37"/>
    <mergeCell ref="O38:P38"/>
    <mergeCell ref="O24:Q24"/>
    <mergeCell ref="O25:P25"/>
    <mergeCell ref="O26:P26"/>
    <mergeCell ref="O27:P27"/>
    <mergeCell ref="T25:U25"/>
    <mergeCell ref="N2:P2"/>
    <mergeCell ref="N1:Q1"/>
    <mergeCell ref="T27:V27"/>
    <mergeCell ref="A1:G1"/>
    <mergeCell ref="I1:L1"/>
    <mergeCell ref="J23:K23"/>
    <mergeCell ref="J24:K24"/>
    <mergeCell ref="J25:K25"/>
    <mergeCell ref="J22:L22"/>
    <mergeCell ref="I2:K2"/>
    <mergeCell ref="S1:V1"/>
    <mergeCell ref="S2:U2"/>
    <mergeCell ref="T22:V22"/>
    <mergeCell ref="T23:U23"/>
    <mergeCell ref="T24:U24"/>
    <mergeCell ref="T41:U41"/>
    <mergeCell ref="T42:U42"/>
    <mergeCell ref="T43:U43"/>
    <mergeCell ref="T36:V36"/>
    <mergeCell ref="T37:U37"/>
    <mergeCell ref="T38:U38"/>
    <mergeCell ref="T39:U39"/>
    <mergeCell ref="T40:U40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51" orientation="portrait" horizontalDpi="4294967295" verticalDpi="4294967295" r:id="rId1"/>
  <ignoredErrors>
    <ignoredError sqref="T17 T8" formula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7A5CA3B7B38F94BA2AE42DE37A93912" ma:contentTypeVersion="3" ma:contentTypeDescription="Crée un document." ma:contentTypeScope="" ma:versionID="ab802edd2b4de271109295ebe8406149">
  <xsd:schema xmlns:xsd="http://www.w3.org/2001/XMLSchema" xmlns:xs="http://www.w3.org/2001/XMLSchema" xmlns:p="http://schemas.microsoft.com/office/2006/metadata/properties" xmlns:ns2="0a4fd1f8-203a-426f-9aba-0b5f6a0d986a" targetNamespace="http://schemas.microsoft.com/office/2006/metadata/properties" ma:root="true" ma:fieldsID="6a970f8ba96ef96a789ff5395043e3ae" ns2:_="">
    <xsd:import namespace="0a4fd1f8-203a-426f-9aba-0b5f6a0d986a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4fd1f8-203a-426f-9aba-0b5f6a0d986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307AE11-A459-4698-B90C-EC0A13FA1350}"/>
</file>

<file path=customXml/itemProps2.xml><?xml version="1.0" encoding="utf-8"?>
<ds:datastoreItem xmlns:ds="http://schemas.openxmlformats.org/officeDocument/2006/customXml" ds:itemID="{498102DF-B972-4A1F-9BCC-1B572498CC69}">
  <ds:schemaRefs>
    <ds:schemaRef ds:uri="http://schemas.microsoft.com/office/2006/metadata/properties"/>
    <ds:schemaRef ds:uri="http://schemas.microsoft.com/office/infopath/2007/PartnerControls"/>
    <ds:schemaRef ds:uri="d59bed80-5cfc-4bd7-8bf0-07145dc87ded"/>
    <ds:schemaRef ds:uri="d52f36ee-b171-4d04-8a89-27d8e85bc1fb"/>
  </ds:schemaRefs>
</ds:datastoreItem>
</file>

<file path=customXml/itemProps3.xml><?xml version="1.0" encoding="utf-8"?>
<ds:datastoreItem xmlns:ds="http://schemas.openxmlformats.org/officeDocument/2006/customXml" ds:itemID="{F057BE97-6887-423A-B528-86D963816D0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Décomposition des coûts</vt:lpstr>
      <vt:lpstr>'Décomposition des coûts'!Zone_d_impression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Olivier KALUZINSKI</dc:creator>
  <cp:lastModifiedBy>DRUMEL Kevin</cp:lastModifiedBy>
  <cp:lastPrinted>2024-10-21T09:41:23Z</cp:lastPrinted>
  <dcterms:created xsi:type="dcterms:W3CDTF">2024-10-16T10:02:01Z</dcterms:created>
  <dcterms:modified xsi:type="dcterms:W3CDTF">2024-12-17T16:34:05Z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ediaServiceImageTags">
    <vt:lpwstr/>
  </property>
  <property fmtid="{D5CDD505-2E9C-101B-9397-08002B2CF9AE}" pid="3" name="ContentTypeId">
    <vt:lpwstr>0x01010067A5CA3B7B38F94BA2AE42DE37A93912</vt:lpwstr>
  </property>
</Properties>
</file>